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elmer Avilan\Documents\DATOS HELMER AVILAN\DATOS E\001  AÑO 2022\"/>
    </mc:Choice>
  </mc:AlternateContent>
  <bookViews>
    <workbookView xWindow="0" yWindow="0" windowWidth="21600" windowHeight="9630" tabRatio="962" firstSheet="11" activeTab="24"/>
  </bookViews>
  <sheets>
    <sheet name="UVT 2006" sheetId="65" r:id="rId1"/>
    <sheet name="Res 19" sheetId="1" r:id="rId2"/>
    <sheet name="Res 20" sheetId="54" r:id="rId3"/>
    <sheet name="Res 2021" sheetId="64" r:id="rId4"/>
    <sheet name="Res 2022" sheetId="69" r:id="rId5"/>
    <sheet name="Vr" sheetId="2" r:id="rId6"/>
    <sheet name="%" sheetId="3" r:id="rId7"/>
    <sheet name="Aj Act 20" sheetId="62" r:id="rId8"/>
    <sheet name="Aj Act 21" sheetId="70" r:id="rId9"/>
    <sheet name="Ajuste Cifras" sheetId="73" r:id="rId10"/>
    <sheet name="Rf Lab" sheetId="5" r:id="rId11"/>
    <sheet name="Base Ret" sheetId="71" r:id="rId12"/>
    <sheet name="Incr Rex" sheetId="72" r:id="rId13"/>
    <sheet name="T Ret" sheetId="56" r:id="rId14"/>
    <sheet name="NO Resp IVA" sheetId="51" r:id="rId15"/>
    <sheet name="Resp IVA" sheetId="58" r:id="rId16"/>
    <sheet name="Rs cons" sheetId="52" r:id="rId17"/>
    <sheet name="Tabla Renta Nat" sheetId="9" r:id="rId18"/>
    <sheet name="No Decl" sheetId="57" r:id="rId19"/>
    <sheet name="Si Decl" sheetId="59" r:id="rId20"/>
    <sheet name="Ot Decl" sheetId="60" r:id="rId21"/>
    <sheet name="Plazos RST" sheetId="61" r:id="rId22"/>
    <sheet name="Min Trans Infl" sheetId="53" r:id="rId23"/>
    <sheet name="Rta Jur" sheetId="34" r:id="rId24"/>
    <sheet name="Super Sc" sheetId="63" r:id="rId25"/>
    <sheet name="Ley Emprend" sheetId="66" r:id="rId26"/>
    <sheet name="Hoja2" sheetId="67" r:id="rId27"/>
    <sheet name="Hoja3" sheetId="68" r:id="rId28"/>
  </sheets>
  <definedNames>
    <definedName name="Z_984CD521_F61A_4081_9FBE_1EFFB5F20A35_.wvu.Cols" localSheetId="5" hidden="1">Vr!$G:$K</definedName>
  </definedNames>
  <calcPr calcId="162913"/>
  <customWorkbookViews>
    <customWorkbookView name="Helmer Avilan - Vista personalizada" guid="{984CD521-F61A-4081-9FBE-1EFFB5F20A35}" mergeInterval="0" personalView="1" maximized="1" xWindow="1" yWindow="1" windowWidth="1020" windowHeight="347" tabRatio="941" activeSheetId="1"/>
  </customWorkbookViews>
</workbook>
</file>

<file path=xl/calcChain.xml><?xml version="1.0" encoding="utf-8"?>
<calcChain xmlns="http://schemas.openxmlformats.org/spreadsheetml/2006/main">
  <c r="K17" i="71" l="1"/>
  <c r="M8" i="71"/>
  <c r="E141" i="59"/>
  <c r="E15" i="73"/>
  <c r="C15" i="9"/>
  <c r="K12" i="57" l="1"/>
  <c r="K10" i="57"/>
  <c r="K24" i="9"/>
  <c r="K22" i="9"/>
  <c r="L20" i="9"/>
  <c r="L18" i="9"/>
  <c r="K20" i="9"/>
  <c r="K18" i="9"/>
  <c r="F23" i="58" l="1"/>
  <c r="G11" i="58"/>
  <c r="M17" i="61"/>
  <c r="M11" i="61"/>
  <c r="M13" i="61" s="1"/>
  <c r="K11" i="61"/>
  <c r="L11" i="58"/>
  <c r="M21" i="51"/>
  <c r="K21" i="51"/>
  <c r="M10" i="51"/>
  <c r="K10" i="51"/>
  <c r="A20" i="73"/>
  <c r="A21" i="73" s="1"/>
  <c r="A22" i="73" s="1"/>
  <c r="A19" i="73"/>
  <c r="A18" i="73"/>
  <c r="J7" i="71"/>
  <c r="J6" i="71"/>
  <c r="K6" i="71" s="1"/>
  <c r="K8" i="71" s="1"/>
  <c r="J16" i="71" l="1"/>
  <c r="A16" i="73"/>
  <c r="A15" i="73"/>
  <c r="I21" i="51"/>
  <c r="H21" i="51"/>
  <c r="H15" i="51"/>
  <c r="I15" i="51"/>
  <c r="I14" i="51"/>
  <c r="H14" i="51"/>
  <c r="I10" i="51"/>
  <c r="H10" i="51"/>
  <c r="A10" i="73"/>
  <c r="A11" i="73" s="1"/>
  <c r="A12" i="73" s="1"/>
  <c r="A13" i="73" s="1"/>
  <c r="A14" i="73" s="1"/>
  <c r="A9" i="73"/>
  <c r="F2" i="73"/>
  <c r="E2" i="73"/>
  <c r="K10" i="71" l="1"/>
  <c r="K19" i="71"/>
  <c r="K21" i="71" s="1"/>
  <c r="E17" i="73"/>
  <c r="E13" i="73"/>
  <c r="E9" i="73"/>
  <c r="E11" i="73"/>
  <c r="E10" i="73"/>
  <c r="E16" i="73"/>
  <c r="E12" i="73"/>
  <c r="E8" i="73"/>
  <c r="E14" i="73"/>
  <c r="F15" i="73"/>
  <c r="F11" i="73"/>
  <c r="F9" i="73"/>
  <c r="F12" i="73"/>
  <c r="F8" i="73"/>
  <c r="F14" i="73"/>
  <c r="F10" i="73"/>
  <c r="F17" i="73"/>
  <c r="F13" i="73"/>
  <c r="F16" i="73"/>
  <c r="A17" i="73"/>
  <c r="A80" i="72"/>
  <c r="A81" i="72" s="1"/>
  <c r="A82" i="72" s="1"/>
  <c r="A84" i="72" s="1"/>
  <c r="A85" i="72" s="1"/>
  <c r="A87" i="72" s="1"/>
  <c r="A88" i="72" s="1"/>
  <c r="A89" i="72" s="1"/>
  <c r="A79" i="72"/>
  <c r="A46" i="72"/>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45" i="72"/>
  <c r="D24" i="72"/>
  <c r="D25" i="72" s="1"/>
  <c r="D26" i="72" s="1"/>
  <c r="D27" i="72" s="1"/>
  <c r="D28" i="72" s="1"/>
  <c r="D29" i="72" s="1"/>
  <c r="D30" i="72" s="1"/>
  <c r="D31" i="72" s="1"/>
  <c r="D32" i="72" s="1"/>
  <c r="D33" i="72" s="1"/>
  <c r="D34" i="72" s="1"/>
  <c r="D35" i="72" s="1"/>
  <c r="D36" i="72" s="1"/>
  <c r="D37" i="72" s="1"/>
  <c r="D38" i="72" s="1"/>
  <c r="D39" i="72" s="1"/>
  <c r="D40" i="72" s="1"/>
  <c r="D41" i="72" s="1"/>
  <c r="D21" i="72"/>
  <c r="D22" i="72" s="1"/>
  <c r="D12" i="72"/>
  <c r="D13" i="72" s="1"/>
  <c r="D14" i="72" s="1"/>
  <c r="D15" i="72" s="1"/>
  <c r="D16" i="72" s="1"/>
  <c r="D5" i="72"/>
  <c r="D6" i="72" s="1"/>
  <c r="D7" i="72" s="1"/>
  <c r="D8" i="72" s="1"/>
  <c r="D9" i="72" s="1"/>
  <c r="D10" i="72" s="1"/>
  <c r="A3" i="72"/>
  <c r="A4" i="72" s="1"/>
  <c r="A5" i="72" s="1"/>
  <c r="A6" i="72" s="1"/>
  <c r="A7" i="72" s="1"/>
  <c r="A8" i="72" s="1"/>
  <c r="A9" i="72" s="1"/>
  <c r="A10" i="72" s="1"/>
  <c r="A11" i="72" s="1"/>
  <c r="A12" i="72" s="1"/>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C12" i="5"/>
  <c r="O61" i="3"/>
  <c r="O56" i="3" s="1"/>
  <c r="O51" i="3" s="1"/>
  <c r="O47" i="3" s="1"/>
  <c r="O45" i="3" s="1"/>
  <c r="O39" i="3" s="1"/>
  <c r="O35" i="3" s="1"/>
  <c r="O32" i="3" s="1"/>
  <c r="O30" i="3" s="1"/>
  <c r="O28" i="3" s="1"/>
  <c r="O26" i="3" s="1"/>
  <c r="O24" i="3" s="1"/>
  <c r="O22" i="3" s="1"/>
  <c r="O20" i="3" s="1"/>
  <c r="O66" i="3"/>
  <c r="A88" i="70" l="1"/>
  <c r="A23" i="70"/>
  <c r="A24" i="70" s="1"/>
  <c r="A25" i="70" s="1"/>
  <c r="A26" i="70" s="1"/>
  <c r="A29" i="70"/>
  <c r="A30" i="70" s="1"/>
  <c r="A31"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s="1"/>
  <c r="A55" i="70" s="1"/>
  <c r="A56" i="70" s="1"/>
  <c r="A57" i="70" s="1"/>
  <c r="A58" i="70" s="1"/>
  <c r="A59" i="70" s="1"/>
  <c r="A60" i="70" s="1"/>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4" i="70" s="1"/>
  <c r="A85" i="70" s="1"/>
  <c r="A86" i="70" s="1"/>
  <c r="A87" i="70" s="1"/>
  <c r="W222" i="2" l="1"/>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7" i="2"/>
  <c r="L3" i="2" l="1"/>
  <c r="L38" i="34" l="1"/>
  <c r="F45" i="34"/>
  <c r="J38" i="34"/>
  <c r="H38" i="34"/>
  <c r="C14" i="9"/>
  <c r="L17" i="9"/>
  <c r="L45" i="59"/>
  <c r="L44" i="9"/>
  <c r="L46" i="9" s="1"/>
  <c r="L47" i="9" s="1"/>
  <c r="L49" i="9" s="1"/>
  <c r="L50" i="9" s="1"/>
  <c r="L51" i="9" s="1"/>
  <c r="L52" i="9" s="1"/>
  <c r="L54" i="9" s="1"/>
  <c r="L42" i="9"/>
  <c r="F25" i="34"/>
  <c r="F23" i="34"/>
  <c r="F21" i="34"/>
  <c r="B14" i="5"/>
  <c r="C10" i="54"/>
  <c r="C9" i="54"/>
  <c r="C26" i="1"/>
  <c r="C25" i="1"/>
  <c r="D7" i="64"/>
  <c r="D5" i="64"/>
  <c r="M87" i="59"/>
  <c r="G3" i="56"/>
  <c r="C19" i="54"/>
  <c r="R29" i="53"/>
  <c r="H55" i="59"/>
  <c r="H56" i="59"/>
  <c r="H57" i="59" s="1"/>
  <c r="H58" i="59" s="1"/>
  <c r="H59" i="59" s="1"/>
  <c r="H60" i="59" s="1"/>
  <c r="H61" i="59" s="1"/>
  <c r="H62" i="59" s="1"/>
  <c r="H34" i="59"/>
  <c r="H35" i="59"/>
  <c r="H36" i="59" s="1"/>
  <c r="H37" i="59" s="1"/>
  <c r="H38" i="59" s="1"/>
  <c r="H39" i="59" s="1"/>
  <c r="H40" i="59" s="1"/>
  <c r="H41" i="59" s="1"/>
  <c r="E34" i="59"/>
  <c r="E35" i="59"/>
  <c r="E36" i="59" s="1"/>
  <c r="E37" i="59" s="1"/>
  <c r="E38" i="59" s="1"/>
  <c r="E39" i="59" s="1"/>
  <c r="E40" i="59" s="1"/>
  <c r="E41" i="59" s="1"/>
  <c r="B34" i="59"/>
  <c r="B35" i="59"/>
  <c r="B36" i="59" s="1"/>
  <c r="B37" i="59" s="1"/>
  <c r="B38" i="59" s="1"/>
  <c r="B39" i="59" s="1"/>
  <c r="B40" i="59" s="1"/>
  <c r="B41" i="59" s="1"/>
  <c r="R16" i="53"/>
  <c r="G4" i="56"/>
  <c r="C81" i="56"/>
  <c r="C79" i="56"/>
  <c r="C65" i="56"/>
  <c r="C63" i="56"/>
  <c r="C61" i="56"/>
  <c r="C59" i="56"/>
  <c r="C55" i="56"/>
  <c r="C53" i="56"/>
  <c r="C51" i="56"/>
  <c r="C49" i="56"/>
  <c r="C47" i="56"/>
  <c r="C45" i="56"/>
  <c r="C43" i="56"/>
  <c r="C41" i="56"/>
  <c r="C39" i="56"/>
  <c r="C37" i="56"/>
  <c r="C35" i="56"/>
  <c r="C33" i="56"/>
  <c r="C31" i="56"/>
  <c r="C27" i="56"/>
  <c r="C17" i="56"/>
  <c r="C15" i="56"/>
  <c r="C13" i="56"/>
  <c r="C11" i="56"/>
  <c r="C7" i="56"/>
  <c r="C5" i="56"/>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25" i="62"/>
  <c r="A24" i="62"/>
  <c r="A23" i="6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7" i="2"/>
  <c r="I147" i="59"/>
  <c r="I146" i="59"/>
  <c r="H31" i="58"/>
  <c r="H29" i="58"/>
  <c r="K16" i="9"/>
  <c r="L22" i="9" s="1"/>
  <c r="L24" i="9" s="1"/>
  <c r="C25" i="9"/>
  <c r="C23" i="9"/>
  <c r="A27" i="9"/>
  <c r="C21" i="9"/>
  <c r="A23" i="9" s="1"/>
  <c r="A17" i="9"/>
  <c r="G9" i="56"/>
  <c r="G8" i="56"/>
  <c r="G7" i="56"/>
  <c r="G6" i="56"/>
  <c r="G5" i="56"/>
  <c r="C27" i="53"/>
  <c r="C26" i="53"/>
  <c r="C25" i="53"/>
  <c r="C24" i="53"/>
  <c r="C23" i="53"/>
  <c r="M28" i="53"/>
  <c r="M27" i="53"/>
  <c r="M26" i="53"/>
  <c r="M25" i="53"/>
  <c r="M24" i="53"/>
  <c r="M23" i="53"/>
  <c r="M22" i="53"/>
  <c r="M21" i="53"/>
  <c r="M20" i="53"/>
  <c r="M19" i="53"/>
  <c r="H28" i="53"/>
  <c r="H27" i="53"/>
  <c r="H26" i="53"/>
  <c r="H25" i="53"/>
  <c r="H24" i="53"/>
  <c r="H23" i="53"/>
  <c r="H22" i="53"/>
  <c r="H21" i="53"/>
  <c r="H20" i="53"/>
  <c r="H19" i="53"/>
  <c r="R28" i="53"/>
  <c r="R27" i="53"/>
  <c r="R26" i="53"/>
  <c r="R25" i="53"/>
  <c r="R24" i="53"/>
  <c r="R23" i="53"/>
  <c r="R22" i="53"/>
  <c r="R21" i="53"/>
  <c r="R20" i="53"/>
  <c r="R19" i="53"/>
  <c r="C15" i="53"/>
  <c r="C14" i="53"/>
  <c r="C13" i="53"/>
  <c r="C12" i="53"/>
  <c r="C11" i="53"/>
  <c r="C10" i="53"/>
  <c r="R15" i="53"/>
  <c r="R14" i="53"/>
  <c r="R13" i="53"/>
  <c r="R12" i="53"/>
  <c r="R11" i="53"/>
  <c r="R10" i="53"/>
  <c r="R9" i="53"/>
  <c r="R8" i="53"/>
  <c r="R7" i="53"/>
  <c r="R6" i="53"/>
  <c r="M15" i="53"/>
  <c r="M14" i="53"/>
  <c r="M13" i="53"/>
  <c r="M12" i="53"/>
  <c r="M11" i="53"/>
  <c r="M10" i="53"/>
  <c r="M9" i="53"/>
  <c r="M8" i="53"/>
  <c r="M7" i="53"/>
  <c r="M6" i="53"/>
  <c r="H15" i="53"/>
  <c r="H14" i="53"/>
  <c r="H13" i="53"/>
  <c r="H12" i="53"/>
  <c r="H11" i="53"/>
  <c r="H10" i="53"/>
  <c r="H9" i="53"/>
  <c r="H8" i="53"/>
  <c r="H7" i="53"/>
  <c r="H6" i="53"/>
  <c r="B17" i="5"/>
  <c r="B15" i="5"/>
  <c r="B13" i="5"/>
  <c r="K69" i="3"/>
  <c r="M69" i="3" s="1"/>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2" i="2"/>
  <c r="U11" i="2"/>
  <c r="U10" i="2"/>
  <c r="U13" i="2"/>
  <c r="U7" i="2"/>
  <c r="C22" i="5"/>
  <c r="B24" i="5" s="1"/>
  <c r="C20" i="5"/>
  <c r="B22" i="5" s="1"/>
  <c r="C18" i="5"/>
  <c r="B20" i="5" s="1"/>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7" i="2"/>
  <c r="C19" i="9"/>
  <c r="A21" i="9" s="1"/>
  <c r="C17" i="9"/>
  <c r="A19" i="9" s="1"/>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7"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7" i="2"/>
  <c r="C16" i="5"/>
  <c r="B18" i="5" s="1"/>
  <c r="C14" i="5"/>
  <c r="B16" i="5" s="1"/>
  <c r="Q212" i="2"/>
  <c r="Q211" i="2"/>
  <c r="Q210" i="2"/>
  <c r="Q208" i="2"/>
  <c r="Q207" i="2"/>
  <c r="Q205" i="2"/>
  <c r="Q204" i="2"/>
  <c r="Q203" i="2"/>
  <c r="Q201" i="2"/>
  <c r="Q200" i="2"/>
  <c r="Q199" i="2"/>
  <c r="Q198" i="2"/>
  <c r="Q197" i="2"/>
  <c r="Q196" i="2"/>
  <c r="Q195" i="2"/>
  <c r="Q194" i="2"/>
  <c r="Q193" i="2"/>
  <c r="Q191" i="2"/>
  <c r="Q190" i="2"/>
  <c r="Q189" i="2"/>
  <c r="Q188" i="2"/>
  <c r="Q187" i="2"/>
  <c r="Q186" i="2"/>
  <c r="Q185" i="2"/>
  <c r="Q184" i="2"/>
  <c r="Q182" i="2"/>
  <c r="Q179" i="2"/>
  <c r="Q178" i="2"/>
  <c r="Q177" i="2"/>
  <c r="Q176" i="2"/>
  <c r="Q175" i="2"/>
  <c r="Q174" i="2"/>
  <c r="Q173" i="2"/>
  <c r="Q172" i="2"/>
  <c r="Q170" i="2"/>
  <c r="Q169" i="2"/>
  <c r="Q168" i="2"/>
  <c r="Q167" i="2"/>
  <c r="Q166" i="2"/>
  <c r="Q165" i="2"/>
  <c r="Q164" i="2"/>
  <c r="Q163" i="2"/>
  <c r="Q162" i="2"/>
  <c r="Q161" i="2"/>
  <c r="Q160" i="2"/>
  <c r="Q159" i="2"/>
  <c r="Q158" i="2"/>
  <c r="Q157" i="2"/>
  <c r="Q155" i="2"/>
  <c r="Q154" i="2"/>
  <c r="Q153" i="2"/>
  <c r="Q152" i="2"/>
  <c r="Q150" i="2"/>
  <c r="Q149" i="2"/>
  <c r="Q147" i="2"/>
  <c r="Q146" i="2"/>
  <c r="Q144" i="2"/>
  <c r="Q143" i="2"/>
  <c r="Q141" i="2"/>
  <c r="Q140" i="2"/>
  <c r="Q139" i="2"/>
  <c r="Q137" i="2"/>
  <c r="Q136" i="2"/>
  <c r="Q134" i="2"/>
  <c r="Q133" i="2"/>
  <c r="Q132" i="2"/>
  <c r="Q131" i="2"/>
  <c r="Q130" i="2"/>
  <c r="Q129" i="2"/>
  <c r="Q128" i="2"/>
  <c r="Q127" i="2"/>
  <c r="Q126" i="2"/>
  <c r="Q125" i="2"/>
  <c r="Q124" i="2"/>
  <c r="Q123" i="2"/>
  <c r="Q121" i="2"/>
  <c r="Q118" i="2"/>
  <c r="Q117" i="2"/>
  <c r="Q116" i="2"/>
  <c r="Q114" i="2"/>
  <c r="Q113" i="2"/>
  <c r="Q112" i="2"/>
  <c r="Q110" i="2"/>
  <c r="Q109" i="2"/>
  <c r="Q108" i="2"/>
  <c r="Q107" i="2"/>
  <c r="Q106" i="2"/>
  <c r="Q105" i="2"/>
  <c r="Q104" i="2"/>
  <c r="Q102" i="2"/>
  <c r="Q101" i="2"/>
  <c r="Q100" i="2"/>
  <c r="Q99" i="2"/>
  <c r="Q98" i="2"/>
  <c r="Q97" i="2"/>
  <c r="Q96" i="2"/>
  <c r="Q95" i="2"/>
  <c r="Q92" i="2"/>
  <c r="Q91" i="2"/>
  <c r="Q90" i="2"/>
  <c r="Q87" i="2"/>
  <c r="Q86" i="2"/>
  <c r="Q84" i="2"/>
  <c r="Q82" i="2"/>
  <c r="Q81" i="2"/>
  <c r="Q79" i="2"/>
  <c r="Q78" i="2"/>
  <c r="Q77" i="2"/>
  <c r="Q76" i="2"/>
  <c r="Q73" i="2"/>
  <c r="Q71" i="2"/>
  <c r="Q69" i="2"/>
  <c r="Q68" i="2"/>
  <c r="Q66" i="2"/>
  <c r="Q65" i="2"/>
  <c r="Q64" i="2"/>
  <c r="Q62" i="2"/>
  <c r="Q61" i="2"/>
  <c r="Q60" i="2"/>
  <c r="Q58" i="2"/>
  <c r="Q57" i="2"/>
  <c r="Q55" i="2"/>
  <c r="Q54" i="2"/>
  <c r="Q53" i="2"/>
  <c r="Q52" i="2"/>
  <c r="Q51" i="2"/>
  <c r="Q50" i="2"/>
  <c r="Q49" i="2"/>
  <c r="Q48" i="2"/>
  <c r="Q47" i="2"/>
  <c r="Q45" i="2"/>
  <c r="Q43" i="2"/>
  <c r="Q41" i="2"/>
  <c r="Q40" i="2"/>
  <c r="Q39" i="2"/>
  <c r="Q37" i="2"/>
  <c r="Q35" i="2"/>
  <c r="Q34" i="2"/>
  <c r="Q32" i="2"/>
  <c r="Q31" i="2"/>
  <c r="Q30" i="2"/>
  <c r="Q29" i="2"/>
  <c r="Q28" i="2"/>
  <c r="Q27" i="2"/>
  <c r="Q25" i="2"/>
  <c r="Q24" i="2"/>
  <c r="Q22" i="2"/>
  <c r="Q21" i="2"/>
  <c r="Q19" i="2"/>
  <c r="Q18" i="2"/>
  <c r="Q17" i="2"/>
  <c r="Q15" i="2"/>
  <c r="Q14" i="2"/>
  <c r="Q12" i="2"/>
  <c r="Q11" i="2"/>
  <c r="Q10" i="2"/>
  <c r="Q7"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2" i="2"/>
  <c r="P11" i="2"/>
  <c r="P10" i="2"/>
  <c r="P7" i="2"/>
  <c r="O10"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7"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8" i="2"/>
  <c r="N117" i="2"/>
  <c r="N116" i="2"/>
  <c r="N114" i="2"/>
  <c r="N113" i="2"/>
  <c r="N112" i="2"/>
  <c r="N110" i="2"/>
  <c r="N109" i="2"/>
  <c r="N108" i="2"/>
  <c r="N107" i="2"/>
  <c r="N106" i="2"/>
  <c r="N105" i="2"/>
  <c r="N104" i="2"/>
  <c r="N102" i="2"/>
  <c r="N101" i="2"/>
  <c r="N100" i="2"/>
  <c r="N99" i="2"/>
  <c r="N98" i="2"/>
  <c r="N97" i="2"/>
  <c r="N96" i="2"/>
  <c r="N95" i="2"/>
  <c r="N92" i="2"/>
  <c r="N91" i="2"/>
  <c r="N90" i="2"/>
  <c r="N87" i="2"/>
  <c r="N86" i="2"/>
  <c r="N84" i="2"/>
  <c r="N82" i="2"/>
  <c r="N81" i="2"/>
  <c r="N79" i="2"/>
  <c r="N78" i="2"/>
  <c r="N77" i="2"/>
  <c r="N76" i="2"/>
  <c r="N73" i="2"/>
  <c r="N71" i="2"/>
  <c r="N70" i="2"/>
  <c r="N69" i="2"/>
  <c r="N68" i="2"/>
  <c r="N66" i="2"/>
  <c r="N65" i="2"/>
  <c r="N64" i="2"/>
  <c r="N62" i="2"/>
  <c r="N61" i="2"/>
  <c r="N60" i="2"/>
  <c r="N58" i="2"/>
  <c r="N57" i="2"/>
  <c r="N55" i="2"/>
  <c r="N53" i="2"/>
  <c r="N52" i="2"/>
  <c r="N51" i="2"/>
  <c r="N50" i="2"/>
  <c r="N49" i="2"/>
  <c r="N48" i="2"/>
  <c r="N47" i="2"/>
  <c r="N45" i="2"/>
  <c r="N43" i="2"/>
  <c r="N41" i="2"/>
  <c r="N39" i="2"/>
  <c r="N37" i="2"/>
  <c r="N35" i="2"/>
  <c r="N34" i="2"/>
  <c r="N32" i="2"/>
  <c r="N31" i="2"/>
  <c r="N30" i="2"/>
  <c r="N29" i="2"/>
  <c r="N28" i="2"/>
  <c r="N27" i="2"/>
  <c r="N25" i="2"/>
  <c r="N24" i="2"/>
  <c r="N22" i="2"/>
  <c r="N21" i="2"/>
  <c r="N19" i="2"/>
  <c r="N18" i="2"/>
  <c r="N17" i="2"/>
  <c r="N15" i="2"/>
  <c r="N14" i="2"/>
  <c r="N12" i="2"/>
  <c r="N11" i="2"/>
  <c r="N10" i="2"/>
  <c r="N7" i="2"/>
  <c r="M162" i="2"/>
  <c r="M10"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8" i="2"/>
  <c r="M117" i="2"/>
  <c r="M116" i="2"/>
  <c r="M114" i="2"/>
  <c r="M113" i="2"/>
  <c r="M112" i="2"/>
  <c r="M110" i="2"/>
  <c r="M109" i="2"/>
  <c r="M108" i="2"/>
  <c r="M107" i="2"/>
  <c r="M106" i="2"/>
  <c r="M105" i="2"/>
  <c r="M104" i="2"/>
  <c r="M102" i="2"/>
  <c r="M101" i="2"/>
  <c r="M100" i="2"/>
  <c r="M99" i="2"/>
  <c r="M98" i="2"/>
  <c r="M97" i="2"/>
  <c r="M96" i="2"/>
  <c r="M95" i="2"/>
  <c r="M92" i="2"/>
  <c r="M91" i="2"/>
  <c r="M90" i="2"/>
  <c r="M87" i="2"/>
  <c r="M86" i="2"/>
  <c r="M84" i="2"/>
  <c r="M82" i="2"/>
  <c r="M81" i="2"/>
  <c r="M79" i="2"/>
  <c r="M78" i="2"/>
  <c r="M77" i="2"/>
  <c r="M76" i="2"/>
  <c r="M73" i="2"/>
  <c r="M71" i="2"/>
  <c r="M70" i="2"/>
  <c r="M69" i="2"/>
  <c r="M68" i="2"/>
  <c r="M66" i="2"/>
  <c r="M65" i="2"/>
  <c r="M64" i="2"/>
  <c r="M62" i="2"/>
  <c r="M61" i="2"/>
  <c r="M60" i="2"/>
  <c r="M58" i="2"/>
  <c r="M57" i="2"/>
  <c r="M55" i="2"/>
  <c r="M53" i="2"/>
  <c r="M52" i="2"/>
  <c r="M51" i="2"/>
  <c r="M50" i="2"/>
  <c r="M49" i="2"/>
  <c r="M48" i="2"/>
  <c r="M47" i="2"/>
  <c r="M45" i="2"/>
  <c r="M43" i="2"/>
  <c r="M41" i="2"/>
  <c r="M39" i="2"/>
  <c r="M37" i="2"/>
  <c r="M35" i="2"/>
  <c r="M34" i="2"/>
  <c r="M32" i="2"/>
  <c r="M31" i="2"/>
  <c r="M30" i="2"/>
  <c r="M29" i="2"/>
  <c r="M28" i="2"/>
  <c r="M27" i="2"/>
  <c r="M25" i="2"/>
  <c r="M24" i="2"/>
  <c r="M22" i="2"/>
  <c r="M21" i="2"/>
  <c r="M19" i="2"/>
  <c r="M18" i="2"/>
  <c r="M17" i="2"/>
  <c r="M15" i="2"/>
  <c r="M14" i="2"/>
  <c r="M12" i="2"/>
  <c r="M11" i="2"/>
  <c r="M7" i="2"/>
  <c r="L212" i="2"/>
  <c r="L211" i="2"/>
  <c r="L208" i="2"/>
  <c r="L207" i="2"/>
  <c r="L205" i="2"/>
  <c r="L204" i="2"/>
  <c r="L203" i="2"/>
  <c r="L201" i="2"/>
  <c r="L200" i="2"/>
  <c r="L198" i="2"/>
  <c r="L197" i="2"/>
  <c r="L196" i="2"/>
  <c r="L194" i="2"/>
  <c r="L193" i="2"/>
  <c r="L191" i="2"/>
  <c r="L190" i="2"/>
  <c r="L189" i="2"/>
  <c r="L188" i="2"/>
  <c r="L187" i="2"/>
  <c r="L186" i="2"/>
  <c r="L185" i="2"/>
  <c r="L184" i="2"/>
  <c r="L182" i="2"/>
  <c r="L181" i="2"/>
  <c r="L178" i="2"/>
  <c r="L177" i="2"/>
  <c r="L175" i="2"/>
  <c r="L174" i="2"/>
  <c r="L173" i="2"/>
  <c r="L172" i="2"/>
  <c r="L170" i="2"/>
  <c r="L169" i="2"/>
  <c r="L168" i="2"/>
  <c r="L166" i="2"/>
  <c r="L162" i="2"/>
  <c r="L152" i="2"/>
  <c r="L149" i="2"/>
  <c r="L147" i="2"/>
  <c r="L143" i="2"/>
  <c r="L141" i="2"/>
  <c r="L140" i="2"/>
  <c r="L139" i="2"/>
  <c r="L137" i="2"/>
  <c r="L136" i="2"/>
  <c r="L134" i="2"/>
  <c r="L133" i="2"/>
  <c r="L132" i="2"/>
  <c r="L131" i="2"/>
  <c r="L130" i="2"/>
  <c r="L129" i="2"/>
  <c r="L128" i="2"/>
  <c r="L127" i="2"/>
  <c r="L126" i="2"/>
  <c r="L125" i="2"/>
  <c r="L124" i="2"/>
  <c r="L123" i="2"/>
  <c r="L121" i="2"/>
  <c r="L118" i="2"/>
  <c r="L116" i="2"/>
  <c r="L110" i="2"/>
  <c r="L109" i="2"/>
  <c r="L108" i="2"/>
  <c r="L106" i="2"/>
  <c r="L105" i="2"/>
  <c r="L104" i="2"/>
  <c r="L102" i="2"/>
  <c r="L101" i="2"/>
  <c r="L100" i="2"/>
  <c r="L99" i="2"/>
  <c r="L98" i="2"/>
  <c r="L97" i="2"/>
  <c r="L92" i="2"/>
  <c r="L87" i="2"/>
  <c r="L86" i="2"/>
  <c r="L73" i="2"/>
  <c r="L71" i="2"/>
  <c r="L69" i="2"/>
  <c r="L68" i="2"/>
  <c r="L66" i="2"/>
  <c r="L65" i="2"/>
  <c r="L64" i="2"/>
  <c r="L61" i="2"/>
  <c r="L62" i="2"/>
  <c r="L60" i="2"/>
  <c r="L58" i="2"/>
  <c r="L57" i="2"/>
  <c r="L55" i="2"/>
  <c r="L51" i="2"/>
  <c r="L49" i="2"/>
  <c r="L45" i="2"/>
  <c r="L43" i="2"/>
  <c r="L41" i="2"/>
  <c r="L39" i="2"/>
  <c r="L34" i="2"/>
  <c r="L32" i="2"/>
  <c r="L31" i="2"/>
  <c r="L30" i="2"/>
  <c r="L28" i="2"/>
  <c r="L27" i="2"/>
  <c r="L25" i="2"/>
  <c r="L24" i="2"/>
  <c r="L22" i="2"/>
  <c r="L21" i="2"/>
  <c r="L19" i="2"/>
  <c r="L11" i="2"/>
  <c r="L10" i="2"/>
  <c r="L210" i="2"/>
  <c r="L199" i="2"/>
  <c r="L195" i="2"/>
  <c r="L179" i="2"/>
  <c r="L176" i="2"/>
  <c r="L167" i="2"/>
  <c r="L165" i="2"/>
  <c r="L164" i="2"/>
  <c r="L163" i="2"/>
  <c r="L161" i="2"/>
  <c r="L160" i="2"/>
  <c r="L159" i="2"/>
  <c r="L158" i="2"/>
  <c r="L157" i="2"/>
  <c r="L155" i="2"/>
  <c r="L154" i="2"/>
  <c r="L153" i="2"/>
  <c r="L150" i="2"/>
  <c r="L146" i="2"/>
  <c r="L144" i="2"/>
  <c r="L120" i="2"/>
  <c r="L117" i="2"/>
  <c r="L114" i="2"/>
  <c r="L113" i="2"/>
  <c r="L112" i="2"/>
  <c r="L107" i="2"/>
  <c r="L96" i="2"/>
  <c r="L95" i="2"/>
  <c r="L91" i="2"/>
  <c r="L90" i="2"/>
  <c r="L84" i="2"/>
  <c r="L82" i="2"/>
  <c r="L81" i="2"/>
  <c r="L79" i="2"/>
  <c r="L78" i="2"/>
  <c r="L77" i="2"/>
  <c r="L76" i="2"/>
  <c r="L53" i="2"/>
  <c r="L52" i="2"/>
  <c r="L50" i="2"/>
  <c r="L48" i="2"/>
  <c r="L47" i="2"/>
  <c r="L37" i="2"/>
  <c r="L35" i="2"/>
  <c r="L29" i="2"/>
  <c r="L18" i="2"/>
  <c r="L17" i="2"/>
  <c r="L15" i="2"/>
  <c r="L14" i="2"/>
  <c r="L12" i="2"/>
  <c r="L7" i="2"/>
  <c r="K10" i="2"/>
  <c r="K210" i="2"/>
  <c r="K208" i="2"/>
  <c r="K205" i="2"/>
  <c r="K200" i="2"/>
  <c r="K197" i="2"/>
  <c r="K196" i="2"/>
  <c r="K194" i="2"/>
  <c r="K193" i="2"/>
  <c r="K191" i="2"/>
  <c r="K190" i="2"/>
  <c r="K189" i="2"/>
  <c r="K188" i="2"/>
  <c r="K187" i="2"/>
  <c r="K186" i="2"/>
  <c r="K185" i="2"/>
  <c r="K184" i="2"/>
  <c r="K182" i="2"/>
  <c r="K181" i="2"/>
  <c r="K178" i="2"/>
  <c r="K177" i="2"/>
  <c r="K175" i="2"/>
  <c r="K174" i="2"/>
  <c r="K173" i="2"/>
  <c r="K172" i="2"/>
  <c r="K170" i="2"/>
  <c r="K169" i="2"/>
  <c r="K168" i="2"/>
  <c r="K166" i="2"/>
  <c r="K163" i="2"/>
  <c r="K162" i="2"/>
  <c r="K153" i="2"/>
  <c r="K150" i="2"/>
  <c r="K149" i="2"/>
  <c r="K147" i="2"/>
  <c r="K146" i="2"/>
  <c r="K144" i="2"/>
  <c r="K141" i="2"/>
  <c r="K140" i="2"/>
  <c r="K139" i="2"/>
  <c r="K137" i="2"/>
  <c r="K136" i="2"/>
  <c r="K134" i="2"/>
  <c r="K133" i="2"/>
  <c r="K132" i="2"/>
  <c r="K131" i="2"/>
  <c r="K130" i="2"/>
  <c r="K129" i="2"/>
  <c r="K128" i="2"/>
  <c r="K127" i="2"/>
  <c r="K126" i="2"/>
  <c r="K125" i="2"/>
  <c r="K124" i="2"/>
  <c r="K123" i="2"/>
  <c r="K121" i="2"/>
  <c r="K118" i="2"/>
  <c r="K117" i="2"/>
  <c r="K116" i="2"/>
  <c r="K110" i="2"/>
  <c r="K109" i="2"/>
  <c r="K104" i="2"/>
  <c r="K102" i="2"/>
  <c r="K101" i="2"/>
  <c r="K100" i="2"/>
  <c r="K99" i="2"/>
  <c r="K98" i="2"/>
  <c r="K97" i="2"/>
  <c r="K96" i="2"/>
  <c r="K95" i="2"/>
  <c r="K92" i="2"/>
  <c r="K87" i="2"/>
  <c r="K86" i="2"/>
  <c r="K69" i="2"/>
  <c r="K68" i="2"/>
  <c r="K65" i="2"/>
  <c r="K64" i="2"/>
  <c r="K61" i="2"/>
  <c r="K58" i="2"/>
  <c r="K57" i="2"/>
  <c r="K55" i="2"/>
  <c r="K51" i="2"/>
  <c r="K49" i="2"/>
  <c r="K45" i="2"/>
  <c r="K43" i="2"/>
  <c r="K41" i="2"/>
  <c r="K31" i="2"/>
  <c r="K30" i="2"/>
  <c r="K28" i="2"/>
  <c r="K27" i="2"/>
  <c r="K25" i="2"/>
  <c r="K24" i="2"/>
  <c r="K22" i="2"/>
  <c r="K21" i="2"/>
  <c r="K19" i="2"/>
  <c r="K11" i="2"/>
  <c r="K212" i="2"/>
  <c r="K211" i="2"/>
  <c r="K207" i="2"/>
  <c r="K204" i="2"/>
  <c r="K203" i="2"/>
  <c r="K201" i="2"/>
  <c r="K199" i="2"/>
  <c r="K198" i="2"/>
  <c r="K195" i="2"/>
  <c r="K179" i="2"/>
  <c r="K176" i="2"/>
  <c r="K167" i="2"/>
  <c r="K165" i="2"/>
  <c r="K164" i="2"/>
  <c r="K161" i="2"/>
  <c r="K160" i="2"/>
  <c r="K159" i="2"/>
  <c r="K158" i="2"/>
  <c r="K157" i="2"/>
  <c r="K155" i="2"/>
  <c r="K154" i="2"/>
  <c r="K152" i="2"/>
  <c r="K143" i="2"/>
  <c r="K120" i="2"/>
  <c r="K114" i="2"/>
  <c r="K113" i="2"/>
  <c r="K112" i="2"/>
  <c r="K108" i="2"/>
  <c r="K107" i="2"/>
  <c r="K106" i="2"/>
  <c r="K105" i="2"/>
  <c r="K91" i="2"/>
  <c r="K90" i="2"/>
  <c r="K84" i="2"/>
  <c r="K82" i="2"/>
  <c r="K81" i="2"/>
  <c r="K79" i="2"/>
  <c r="K78" i="2"/>
  <c r="K77" i="2"/>
  <c r="K76" i="2"/>
  <c r="K73" i="2"/>
  <c r="K71" i="2"/>
  <c r="K66" i="2"/>
  <c r="K62" i="2"/>
  <c r="K60" i="2"/>
  <c r="K53" i="2"/>
  <c r="K52" i="2"/>
  <c r="K50" i="2"/>
  <c r="K48" i="2"/>
  <c r="K47" i="2"/>
  <c r="K39" i="2"/>
  <c r="K37" i="2"/>
  <c r="K35" i="2"/>
  <c r="K34" i="2"/>
  <c r="K32" i="2"/>
  <c r="K29" i="2"/>
  <c r="K18" i="2"/>
  <c r="K17" i="2"/>
  <c r="K15" i="2"/>
  <c r="K14" i="2"/>
  <c r="K12" i="2"/>
  <c r="K7" i="2"/>
  <c r="J7" i="2"/>
  <c r="I7" i="2"/>
  <c r="H7" i="2"/>
  <c r="J212" i="2"/>
  <c r="I212" i="2"/>
  <c r="H212" i="2"/>
  <c r="J211" i="2"/>
  <c r="I211" i="2"/>
  <c r="H211" i="2"/>
  <c r="J210" i="2"/>
  <c r="I210" i="2"/>
  <c r="H210" i="2"/>
  <c r="J208" i="2"/>
  <c r="I208" i="2"/>
  <c r="H208" i="2"/>
  <c r="J207" i="2"/>
  <c r="I207" i="2"/>
  <c r="H207" i="2"/>
  <c r="J205" i="2"/>
  <c r="I205" i="2"/>
  <c r="H205" i="2"/>
  <c r="J204" i="2"/>
  <c r="I204" i="2"/>
  <c r="H204" i="2"/>
  <c r="J203" i="2"/>
  <c r="I203" i="2"/>
  <c r="H203" i="2"/>
  <c r="J201" i="2"/>
  <c r="I201" i="2"/>
  <c r="H201" i="2"/>
  <c r="J200" i="2"/>
  <c r="I200" i="2"/>
  <c r="H200" i="2"/>
  <c r="J199" i="2"/>
  <c r="I199" i="2"/>
  <c r="H199" i="2"/>
  <c r="J198" i="2"/>
  <c r="I198" i="2"/>
  <c r="H198" i="2"/>
  <c r="J197" i="2"/>
  <c r="I197" i="2"/>
  <c r="H197" i="2"/>
  <c r="J196" i="2"/>
  <c r="I196" i="2"/>
  <c r="H196" i="2"/>
  <c r="J195" i="2"/>
  <c r="I195" i="2"/>
  <c r="H195" i="2"/>
  <c r="J194" i="2"/>
  <c r="I194" i="2"/>
  <c r="H194" i="2"/>
  <c r="J193" i="2"/>
  <c r="I193" i="2"/>
  <c r="H193" i="2"/>
  <c r="J191" i="2"/>
  <c r="I191" i="2"/>
  <c r="H191" i="2"/>
  <c r="J190" i="2"/>
  <c r="I190" i="2"/>
  <c r="H190" i="2"/>
  <c r="J189" i="2"/>
  <c r="I189" i="2"/>
  <c r="H189" i="2"/>
  <c r="J188" i="2"/>
  <c r="I188" i="2"/>
  <c r="H188" i="2"/>
  <c r="J187" i="2"/>
  <c r="I187" i="2"/>
  <c r="H187" i="2"/>
  <c r="J186" i="2"/>
  <c r="I186" i="2"/>
  <c r="H186" i="2"/>
  <c r="J185" i="2"/>
  <c r="I185" i="2"/>
  <c r="H185" i="2"/>
  <c r="J184" i="2"/>
  <c r="I184" i="2"/>
  <c r="H184" i="2"/>
  <c r="J182" i="2"/>
  <c r="I182" i="2"/>
  <c r="H182" i="2"/>
  <c r="J181" i="2"/>
  <c r="I181" i="2"/>
  <c r="H181" i="2"/>
  <c r="J179" i="2"/>
  <c r="I179" i="2"/>
  <c r="H179" i="2"/>
  <c r="J178" i="2"/>
  <c r="I178" i="2"/>
  <c r="H178" i="2"/>
  <c r="J177" i="2"/>
  <c r="I177" i="2"/>
  <c r="H177" i="2"/>
  <c r="J176" i="2"/>
  <c r="I176" i="2"/>
  <c r="H176" i="2"/>
  <c r="J175" i="2"/>
  <c r="I175" i="2"/>
  <c r="H175" i="2"/>
  <c r="J174" i="2"/>
  <c r="I174" i="2"/>
  <c r="H174" i="2"/>
  <c r="J173" i="2"/>
  <c r="I173" i="2"/>
  <c r="H173" i="2"/>
  <c r="J172" i="2"/>
  <c r="I172" i="2"/>
  <c r="H172" i="2"/>
  <c r="J170" i="2"/>
  <c r="I170" i="2"/>
  <c r="H170" i="2"/>
  <c r="J169" i="2"/>
  <c r="I169" i="2"/>
  <c r="H169" i="2"/>
  <c r="J168" i="2"/>
  <c r="I168" i="2"/>
  <c r="H168" i="2"/>
  <c r="J167" i="2"/>
  <c r="I167" i="2"/>
  <c r="H167" i="2"/>
  <c r="J166" i="2"/>
  <c r="I166" i="2"/>
  <c r="H166" i="2"/>
  <c r="J165" i="2"/>
  <c r="I165" i="2"/>
  <c r="H165" i="2"/>
  <c r="J164" i="2"/>
  <c r="I164" i="2"/>
  <c r="H164" i="2"/>
  <c r="J163" i="2"/>
  <c r="I163" i="2"/>
  <c r="H163" i="2"/>
  <c r="J162" i="2"/>
  <c r="I162" i="2"/>
  <c r="H162" i="2"/>
  <c r="J161" i="2"/>
  <c r="I161" i="2"/>
  <c r="H161" i="2"/>
  <c r="J160" i="2"/>
  <c r="I160" i="2"/>
  <c r="H160" i="2"/>
  <c r="J159" i="2"/>
  <c r="I159" i="2"/>
  <c r="H159" i="2"/>
  <c r="J158" i="2"/>
  <c r="I158" i="2"/>
  <c r="H158" i="2"/>
  <c r="J157" i="2"/>
  <c r="I157" i="2"/>
  <c r="H157" i="2"/>
  <c r="J155" i="2"/>
  <c r="I155" i="2"/>
  <c r="H155" i="2"/>
  <c r="J154" i="2"/>
  <c r="I154" i="2"/>
  <c r="H154" i="2"/>
  <c r="J153" i="2"/>
  <c r="I153" i="2"/>
  <c r="H153" i="2"/>
  <c r="J152" i="2"/>
  <c r="I152" i="2"/>
  <c r="H152" i="2"/>
  <c r="J150" i="2"/>
  <c r="I150" i="2"/>
  <c r="H150" i="2"/>
  <c r="J149" i="2"/>
  <c r="I149" i="2"/>
  <c r="H149" i="2"/>
  <c r="J147" i="2"/>
  <c r="I147" i="2"/>
  <c r="H147" i="2"/>
  <c r="J146" i="2"/>
  <c r="I146" i="2"/>
  <c r="H146" i="2"/>
  <c r="J144" i="2"/>
  <c r="I144" i="2"/>
  <c r="H144" i="2"/>
  <c r="J143" i="2"/>
  <c r="I143" i="2"/>
  <c r="H143" i="2"/>
  <c r="J141" i="2"/>
  <c r="I141" i="2"/>
  <c r="H141" i="2"/>
  <c r="J140" i="2"/>
  <c r="I140" i="2"/>
  <c r="H140" i="2"/>
  <c r="J139" i="2"/>
  <c r="I139" i="2"/>
  <c r="H139" i="2"/>
  <c r="J137" i="2"/>
  <c r="I137" i="2"/>
  <c r="H137" i="2"/>
  <c r="J136" i="2"/>
  <c r="I136" i="2"/>
  <c r="H136" i="2"/>
  <c r="J134" i="2"/>
  <c r="I134" i="2"/>
  <c r="H134" i="2"/>
  <c r="J133" i="2"/>
  <c r="I133" i="2"/>
  <c r="H133" i="2"/>
  <c r="J132" i="2"/>
  <c r="I132" i="2"/>
  <c r="H132" i="2"/>
  <c r="J131" i="2"/>
  <c r="I131" i="2"/>
  <c r="H131" i="2"/>
  <c r="J130" i="2"/>
  <c r="I130" i="2"/>
  <c r="H130" i="2"/>
  <c r="J129" i="2"/>
  <c r="I129" i="2"/>
  <c r="H129" i="2"/>
  <c r="J128" i="2"/>
  <c r="I128" i="2"/>
  <c r="H128" i="2"/>
  <c r="J127" i="2"/>
  <c r="I127" i="2"/>
  <c r="H127" i="2"/>
  <c r="J126" i="2"/>
  <c r="I126" i="2"/>
  <c r="H126" i="2"/>
  <c r="J125" i="2"/>
  <c r="I125" i="2"/>
  <c r="H125" i="2"/>
  <c r="J124" i="2"/>
  <c r="I124" i="2"/>
  <c r="H124" i="2"/>
  <c r="J123" i="2"/>
  <c r="I123" i="2"/>
  <c r="H123" i="2"/>
  <c r="J121" i="2"/>
  <c r="I121" i="2"/>
  <c r="H121" i="2"/>
  <c r="J120" i="2"/>
  <c r="I120" i="2"/>
  <c r="H120" i="2"/>
  <c r="J118" i="2"/>
  <c r="I118" i="2"/>
  <c r="H118" i="2"/>
  <c r="J117" i="2"/>
  <c r="I117" i="2"/>
  <c r="H117" i="2"/>
  <c r="J116" i="2"/>
  <c r="I116" i="2"/>
  <c r="H116" i="2"/>
  <c r="J114" i="2"/>
  <c r="I114" i="2"/>
  <c r="H114" i="2"/>
  <c r="J113" i="2"/>
  <c r="I113" i="2"/>
  <c r="H113" i="2"/>
  <c r="J112" i="2"/>
  <c r="I112" i="2"/>
  <c r="H112" i="2"/>
  <c r="J110" i="2"/>
  <c r="I110" i="2"/>
  <c r="H110" i="2"/>
  <c r="J109" i="2"/>
  <c r="I109" i="2"/>
  <c r="H109" i="2"/>
  <c r="J108" i="2"/>
  <c r="I108" i="2"/>
  <c r="H108" i="2"/>
  <c r="J107" i="2"/>
  <c r="I107" i="2"/>
  <c r="H107" i="2"/>
  <c r="J106" i="2"/>
  <c r="I106" i="2"/>
  <c r="H106" i="2"/>
  <c r="J105" i="2"/>
  <c r="I105" i="2"/>
  <c r="H105" i="2"/>
  <c r="J104" i="2"/>
  <c r="I104" i="2"/>
  <c r="H104" i="2"/>
  <c r="J102" i="2"/>
  <c r="I102" i="2"/>
  <c r="H102" i="2"/>
  <c r="J101" i="2"/>
  <c r="I101" i="2"/>
  <c r="H101" i="2"/>
  <c r="J100" i="2"/>
  <c r="I100" i="2"/>
  <c r="H100" i="2"/>
  <c r="J99" i="2"/>
  <c r="I99" i="2"/>
  <c r="H99" i="2"/>
  <c r="J98" i="2"/>
  <c r="I98" i="2"/>
  <c r="H98" i="2"/>
  <c r="J97" i="2"/>
  <c r="I97" i="2"/>
  <c r="H97" i="2"/>
  <c r="J96" i="2"/>
  <c r="I96" i="2"/>
  <c r="H96" i="2"/>
  <c r="J95" i="2"/>
  <c r="I95" i="2"/>
  <c r="H95" i="2"/>
  <c r="J92" i="2"/>
  <c r="I92" i="2"/>
  <c r="H92" i="2"/>
  <c r="J91" i="2"/>
  <c r="I91" i="2"/>
  <c r="H91" i="2"/>
  <c r="J90" i="2"/>
  <c r="I90" i="2"/>
  <c r="H90" i="2"/>
  <c r="J87" i="2"/>
  <c r="I87" i="2"/>
  <c r="H87" i="2"/>
  <c r="J86" i="2"/>
  <c r="I86" i="2"/>
  <c r="H86" i="2"/>
  <c r="J84" i="2"/>
  <c r="I84" i="2"/>
  <c r="H84" i="2"/>
  <c r="J82" i="2"/>
  <c r="I82" i="2"/>
  <c r="H82" i="2"/>
  <c r="J81" i="2"/>
  <c r="I81" i="2"/>
  <c r="H81" i="2"/>
  <c r="J79" i="2"/>
  <c r="I79" i="2"/>
  <c r="H79" i="2"/>
  <c r="J78" i="2"/>
  <c r="I78" i="2"/>
  <c r="H78" i="2"/>
  <c r="J77" i="2"/>
  <c r="I77" i="2"/>
  <c r="H77" i="2"/>
  <c r="J76" i="2"/>
  <c r="I76" i="2"/>
  <c r="H76" i="2"/>
  <c r="J73" i="2"/>
  <c r="I73" i="2"/>
  <c r="H73" i="2"/>
  <c r="J71" i="2"/>
  <c r="I71" i="2"/>
  <c r="H71" i="2"/>
  <c r="J69" i="2"/>
  <c r="I69" i="2"/>
  <c r="H69" i="2"/>
  <c r="J68" i="2"/>
  <c r="I68" i="2"/>
  <c r="H68" i="2"/>
  <c r="J66" i="2"/>
  <c r="I66" i="2"/>
  <c r="H66" i="2"/>
  <c r="J65" i="2"/>
  <c r="I65" i="2"/>
  <c r="H65" i="2"/>
  <c r="J64" i="2"/>
  <c r="I64" i="2"/>
  <c r="H64" i="2"/>
  <c r="J62" i="2"/>
  <c r="I62" i="2"/>
  <c r="H62" i="2"/>
  <c r="J61" i="2"/>
  <c r="I61" i="2"/>
  <c r="H61" i="2"/>
  <c r="J60" i="2"/>
  <c r="I60" i="2"/>
  <c r="H60" i="2"/>
  <c r="J58" i="2"/>
  <c r="I58" i="2"/>
  <c r="H58" i="2"/>
  <c r="J57" i="2"/>
  <c r="I57" i="2"/>
  <c r="H57" i="2"/>
  <c r="J55" i="2"/>
  <c r="I55" i="2"/>
  <c r="H55" i="2"/>
  <c r="J53" i="2"/>
  <c r="I53" i="2"/>
  <c r="H53" i="2"/>
  <c r="J52" i="2"/>
  <c r="I52" i="2"/>
  <c r="H52" i="2"/>
  <c r="J51" i="2"/>
  <c r="I51" i="2"/>
  <c r="H51" i="2"/>
  <c r="J50" i="2"/>
  <c r="I50" i="2"/>
  <c r="H50" i="2"/>
  <c r="J49" i="2"/>
  <c r="I49" i="2"/>
  <c r="H49" i="2"/>
  <c r="J48" i="2"/>
  <c r="I48" i="2"/>
  <c r="H48" i="2"/>
  <c r="J47" i="2"/>
  <c r="I47" i="2"/>
  <c r="H47" i="2"/>
  <c r="J45" i="2"/>
  <c r="I45" i="2"/>
  <c r="H45" i="2"/>
  <c r="J43" i="2"/>
  <c r="I43" i="2"/>
  <c r="H43" i="2"/>
  <c r="J41" i="2"/>
  <c r="I41" i="2"/>
  <c r="H41" i="2"/>
  <c r="J39" i="2"/>
  <c r="I39" i="2"/>
  <c r="H39" i="2"/>
  <c r="J37" i="2"/>
  <c r="I37" i="2"/>
  <c r="H37" i="2"/>
  <c r="J35" i="2"/>
  <c r="I35" i="2"/>
  <c r="H35" i="2"/>
  <c r="J34" i="2"/>
  <c r="I34" i="2"/>
  <c r="H34" i="2"/>
  <c r="J32" i="2"/>
  <c r="I32" i="2"/>
  <c r="H32" i="2"/>
  <c r="J31" i="2"/>
  <c r="I31" i="2"/>
  <c r="H31" i="2"/>
  <c r="J30" i="2"/>
  <c r="I30" i="2"/>
  <c r="H30" i="2"/>
  <c r="J29" i="2"/>
  <c r="I29" i="2"/>
  <c r="H29" i="2"/>
  <c r="J28" i="2"/>
  <c r="I28" i="2"/>
  <c r="H28" i="2"/>
  <c r="J27" i="2"/>
  <c r="I27" i="2"/>
  <c r="H27" i="2"/>
  <c r="J25" i="2"/>
  <c r="I25" i="2"/>
  <c r="H25" i="2"/>
  <c r="J24" i="2"/>
  <c r="I24" i="2"/>
  <c r="H24" i="2"/>
  <c r="J22" i="2"/>
  <c r="I22" i="2"/>
  <c r="H22" i="2"/>
  <c r="J21" i="2"/>
  <c r="I21" i="2"/>
  <c r="H21" i="2"/>
  <c r="J19" i="2"/>
  <c r="I19" i="2"/>
  <c r="H19" i="2"/>
  <c r="J18" i="2"/>
  <c r="I18" i="2"/>
  <c r="H18" i="2"/>
  <c r="J17" i="2"/>
  <c r="I17" i="2"/>
  <c r="H17" i="2"/>
  <c r="J15" i="2"/>
  <c r="I15" i="2"/>
  <c r="H15" i="2"/>
  <c r="J14" i="2"/>
  <c r="I14" i="2"/>
  <c r="H14" i="2"/>
  <c r="J12" i="2"/>
  <c r="I12" i="2"/>
  <c r="H12" i="2"/>
  <c r="J11" i="2"/>
  <c r="I11" i="2"/>
  <c r="H11" i="2"/>
  <c r="B11" i="2"/>
  <c r="B12" i="2"/>
  <c r="B13" i="2"/>
  <c r="B16" i="2"/>
  <c r="B19" i="2"/>
  <c r="B20" i="2"/>
  <c r="B23" i="2"/>
  <c r="B26" i="2"/>
  <c r="B30" i="2"/>
  <c r="B31" i="2"/>
  <c r="B32" i="2"/>
  <c r="B34" i="2"/>
  <c r="B35" i="2"/>
  <c r="B37" i="2"/>
  <c r="B39" i="2"/>
  <c r="B41" i="2"/>
  <c r="B43" i="2"/>
  <c r="B45" i="2"/>
  <c r="B47" i="2"/>
  <c r="B48" i="2"/>
  <c r="B51" i="2"/>
  <c r="B53" i="2"/>
  <c r="B55" i="2"/>
  <c r="B57" i="2"/>
  <c r="B58" i="2"/>
  <c r="B60" i="2"/>
  <c r="B64" i="2"/>
  <c r="B65" i="2"/>
  <c r="B66" i="2"/>
  <c r="B68" i="2"/>
  <c r="B71" i="2"/>
  <c r="B73" i="2"/>
  <c r="B75" i="2"/>
  <c r="B79" i="2"/>
  <c r="B81" i="2"/>
  <c r="B84" i="2"/>
  <c r="B86" i="2"/>
  <c r="B89" i="2"/>
  <c r="B92" i="2"/>
  <c r="B95" i="2"/>
  <c r="B96" i="2"/>
  <c r="B97" i="2"/>
  <c r="B104" i="2"/>
  <c r="B105" i="2"/>
  <c r="B106" i="2"/>
  <c r="B107" i="2"/>
  <c r="B108" i="2"/>
  <c r="B109" i="2"/>
  <c r="B110" i="2"/>
  <c r="B112" i="2"/>
  <c r="B115" i="2"/>
  <c r="B119" i="2"/>
  <c r="B122" i="2"/>
  <c r="B134" i="2"/>
  <c r="B135" i="2"/>
  <c r="B138" i="2"/>
  <c r="B141" i="2"/>
  <c r="B142" i="2"/>
  <c r="B145" i="2"/>
  <c r="B148" i="2"/>
  <c r="B151" i="2"/>
  <c r="B154" i="2"/>
  <c r="B155" i="2"/>
  <c r="B156" i="2"/>
  <c r="B162" i="2"/>
  <c r="B163" i="2"/>
  <c r="B164" i="2"/>
  <c r="B165" i="2"/>
  <c r="B166" i="2"/>
  <c r="B167" i="2"/>
  <c r="B168" i="2"/>
  <c r="B169" i="2"/>
  <c r="B170" i="2"/>
  <c r="B171" i="2"/>
  <c r="B175" i="2"/>
  <c r="B176" i="2"/>
  <c r="B177" i="2"/>
  <c r="B178" i="2"/>
  <c r="B179" i="2"/>
  <c r="B181" i="2"/>
  <c r="B184" i="2"/>
  <c r="B185" i="2"/>
  <c r="B186" i="2"/>
  <c r="B187" i="2"/>
  <c r="B188" i="2"/>
  <c r="B189" i="2"/>
  <c r="B190" i="2"/>
  <c r="B191" i="2"/>
  <c r="B192" i="2"/>
  <c r="B195" i="2"/>
  <c r="B196" i="2"/>
  <c r="B197" i="2"/>
  <c r="B198" i="2"/>
  <c r="B199" i="2"/>
  <c r="B200" i="2"/>
  <c r="B201" i="2"/>
  <c r="B203" i="2"/>
  <c r="B207" i="2"/>
  <c r="B210" i="2"/>
  <c r="J10" i="2"/>
  <c r="I10" i="2"/>
  <c r="H10" i="2"/>
  <c r="A25" i="9" l="1"/>
  <c r="K66" i="3"/>
  <c r="M66" i="3" l="1"/>
  <c r="K61" i="3"/>
  <c r="K56" i="3" l="1"/>
  <c r="M61" i="3"/>
  <c r="K51" i="3" l="1"/>
  <c r="M56" i="3"/>
  <c r="K47" i="3" l="1"/>
  <c r="M51" i="3"/>
  <c r="K45" i="3" l="1"/>
  <c r="M47" i="3"/>
  <c r="K39" i="3" l="1"/>
  <c r="M45" i="3"/>
  <c r="K35" i="3" l="1"/>
  <c r="M39" i="3"/>
  <c r="K32" i="3" l="1"/>
  <c r="M35" i="3"/>
  <c r="K30" i="3" l="1"/>
  <c r="M32" i="3"/>
  <c r="K28" i="3" l="1"/>
  <c r="M30" i="3"/>
  <c r="K26" i="3" l="1"/>
  <c r="M28" i="3"/>
  <c r="K24" i="3" l="1"/>
  <c r="M26" i="3"/>
  <c r="K22" i="3" l="1"/>
  <c r="M24" i="3"/>
  <c r="K20" i="3" l="1"/>
  <c r="M20" i="3" s="1"/>
  <c r="M22" i="3"/>
</calcChain>
</file>

<file path=xl/sharedStrings.xml><?xml version="1.0" encoding="utf-8"?>
<sst xmlns="http://schemas.openxmlformats.org/spreadsheetml/2006/main" count="1526" uniqueCount="1110">
  <si>
    <t xml:space="preserve"> </t>
  </si>
  <si>
    <t>Num</t>
  </si>
  <si>
    <t xml:space="preserve"> Norma</t>
  </si>
  <si>
    <t>Smlv</t>
  </si>
  <si>
    <t>Valor en $                 Año   2.006</t>
  </si>
  <si>
    <t>Valor en $                       Año   2.007</t>
  </si>
  <si>
    <t>Valor en $                       Año   2.008</t>
  </si>
  <si>
    <t xml:space="preserve">ART.108-1 PAR E.T. 30 </t>
  </si>
  <si>
    <t>Ded Pagos viudas y huerf - F armadas</t>
  </si>
  <si>
    <t xml:space="preserve">2 ART. 108-3 E.T. </t>
  </si>
  <si>
    <t>Cuota menjo tarjetas empleados pensión</t>
  </si>
  <si>
    <t xml:space="preserve"> ART. 206 NUM 5 E.T. (2 IGUALES) </t>
  </si>
  <si>
    <t xml:space="preserve">Renta exenta - Pensiones  </t>
  </si>
  <si>
    <t>ART. 260-4 E.T.</t>
  </si>
  <si>
    <t xml:space="preserve">PRIMER VALOR </t>
  </si>
  <si>
    <t>PT - Prepar y envar Doc Comp - Patr = +</t>
  </si>
  <si>
    <t xml:space="preserve">SEGUNDO VALOR </t>
  </si>
  <si>
    <t>PT - Prepar y envar Doc Comp - Ing = +</t>
  </si>
  <si>
    <t>ART. 260-8 E.T.</t>
  </si>
  <si>
    <t>PT - Declarac  Informat  Patr = +</t>
  </si>
  <si>
    <t>PT - Declarac  Informat  - Ing = +</t>
  </si>
  <si>
    <t xml:space="preserve">ART. 306-1 E.T. </t>
  </si>
  <si>
    <t>ART. 387-1 E.T.</t>
  </si>
  <si>
    <t>Dism Base Retenc Alimentación - Salario</t>
  </si>
  <si>
    <t>SEGUNDO VALOR</t>
  </si>
  <si>
    <t>Dism Base Retenc Alimentación - No Ing</t>
  </si>
  <si>
    <t>ART. 420 LITERAL d) E.T.</t>
  </si>
  <si>
    <t>Base iva juegos localizados  maquinitas</t>
  </si>
  <si>
    <t xml:space="preserve">Base iva mesas de juegos </t>
  </si>
  <si>
    <t>ART. 640-1 E.T.</t>
  </si>
  <si>
    <t>Dism Retef o Imp o Aumn Sald favor = +</t>
  </si>
  <si>
    <t xml:space="preserve">RANGO 1 </t>
  </si>
  <si>
    <t>Sanción accesoria dism imp +saldo fav</t>
  </si>
  <si>
    <t>RANGO 2</t>
  </si>
  <si>
    <t xml:space="preserve">ART. 658-1 E.T. </t>
  </si>
  <si>
    <t xml:space="preserve">Sanción adm repr legales refiscales </t>
  </si>
  <si>
    <t>ART. 689-1 PAR  2 E.T.</t>
  </si>
  <si>
    <t>Ben Auditoria - No aplica Imp Neto Rta -</t>
  </si>
  <si>
    <t xml:space="preserve">ART. 850 PAR 2 E.T. </t>
  </si>
  <si>
    <t xml:space="preserve">Dev Comp de Iva - Valor de la VIS - </t>
  </si>
  <si>
    <t>LEY 98 DE 1993</t>
  </si>
  <si>
    <t xml:space="preserve">ART. 28 </t>
  </si>
  <si>
    <t>Rta Ex Der Autor N o E - Res - 2 Edic Tirada</t>
  </si>
  <si>
    <t xml:space="preserve">ART. 30 </t>
  </si>
  <si>
    <t>RE -Inv Ensanche Apert Nuevas Librer  CC</t>
  </si>
  <si>
    <t>LEY 100 DE 1993</t>
  </si>
  <si>
    <t>ART. 135 NUM 5 (MOD LEY 223/95</t>
  </si>
  <si>
    <t>Pensiones exentas</t>
  </si>
  <si>
    <t>DECRETO 328 DE 1995</t>
  </si>
  <si>
    <t xml:space="preserve">ART. 2 NIVEL NACIONAL 120 </t>
  </si>
  <si>
    <t>Investig Bienes Fallecidos - Remisibiliad</t>
  </si>
  <si>
    <t>DECRETO 1595 DE 1995</t>
  </si>
  <si>
    <t xml:space="preserve">ART. 4 PARÁGRAFO 1 </t>
  </si>
  <si>
    <t>EL DIRECTOR GENERAL DE IMPUESTOS Y ADUANAS NACIONALES</t>
  </si>
  <si>
    <t>RESUELVE</t>
  </si>
  <si>
    <t>Imp de vehículos del 1,5% hasta</t>
  </si>
  <si>
    <t>Imp de vehículos del 2,5% hasta</t>
  </si>
  <si>
    <t>LITERAL c)   MAS DE:</t>
  </si>
  <si>
    <t>Imp de vehículos del 3,5% hasta</t>
  </si>
  <si>
    <t>Valor en $                       Año   2.009</t>
  </si>
  <si>
    <t>Cant UVT Año              2.006</t>
  </si>
  <si>
    <t>% de Incremento</t>
  </si>
  <si>
    <t>Valor en Pesos</t>
  </si>
  <si>
    <t>Del Iva visitantes extranj - no inf</t>
  </si>
  <si>
    <t>D. REGL. 900 DE 1997</t>
  </si>
  <si>
    <t xml:space="preserve">ART. 7 </t>
  </si>
  <si>
    <t>Cert Incent  Forestal de conservación</t>
  </si>
  <si>
    <t>D. REGL. 1345 DE 1999</t>
  </si>
  <si>
    <t xml:space="preserve">ART. 1 PAR (2 IGUALES) </t>
  </si>
  <si>
    <t>Vales alimentacion al trabaj no exceda</t>
  </si>
  <si>
    <t>LEY 599 DE 2000</t>
  </si>
  <si>
    <t xml:space="preserve">ART. 313 </t>
  </si>
  <si>
    <t>Multa incumplir renta monopolio rentist</t>
  </si>
  <si>
    <t xml:space="preserve">ART. 320 PRIMER VALOR </t>
  </si>
  <si>
    <t>Posesión (PTTADE) M/cia contrabando</t>
  </si>
  <si>
    <t>ART. 320 RANGO 1</t>
  </si>
  <si>
    <t>Multa  (PTTADE) M/cia contrabando</t>
  </si>
  <si>
    <t>ART. 320 RANGO 2</t>
  </si>
  <si>
    <t>ART. 320- 1  RANGO 1</t>
  </si>
  <si>
    <t>Multa  (PTTADE) Hidrocarb contrabando</t>
  </si>
  <si>
    <t>ART. 320- 1  RANGO 2</t>
  </si>
  <si>
    <t xml:space="preserve">ART. 402 </t>
  </si>
  <si>
    <t>Multa no cons Retef iva - Tasas Contr</t>
  </si>
  <si>
    <t>D. REGL. 405 DE 2001</t>
  </si>
  <si>
    <t>ART. 21 TODOS</t>
  </si>
  <si>
    <t>Cta Ahorro Pensionados Exen 4x1000</t>
  </si>
  <si>
    <t>D. REGL. 406 DE 2001</t>
  </si>
  <si>
    <t xml:space="preserve">ART. 7 LITERAL b) y d) </t>
  </si>
  <si>
    <t>Benef Aud - Incremento mínimo inr</t>
  </si>
  <si>
    <t xml:space="preserve">ART. 9 LITERAL d) </t>
  </si>
  <si>
    <t>Benef Aud - Increm mín inr - No Dec Año An</t>
  </si>
  <si>
    <t>D. REGL.  1243 DE 2001</t>
  </si>
  <si>
    <t xml:space="preserve">ART. 1 PRIIMER VALOR </t>
  </si>
  <si>
    <t>Dev Comp de Iva - Viv Rural - Ingr Fam</t>
  </si>
  <si>
    <t xml:space="preserve">TERCER VALOR </t>
  </si>
  <si>
    <t xml:space="preserve">Dev Comp de Iva - Viv Rural - Valor VIS </t>
  </si>
  <si>
    <t>LEY 789 DE 2002</t>
  </si>
  <si>
    <t xml:space="preserve">ART. 19 </t>
  </si>
  <si>
    <t>Base aport vol a cajas comp - 0,6% sobre</t>
  </si>
  <si>
    <t xml:space="preserve">ART. 19 PARÁGRAFO 1 </t>
  </si>
  <si>
    <t>Base aport vol a cajas comp - 2% desemp</t>
  </si>
  <si>
    <t xml:space="preserve">ART. 44 CON REFER 2006 </t>
  </si>
  <si>
    <t xml:space="preserve">Trab socios util empres - No devengar + de </t>
  </si>
  <si>
    <t>D. REGL.  427 DE 2004</t>
  </si>
  <si>
    <t xml:space="preserve">ART. 1 PAR 1 PRIMER VALOR </t>
  </si>
  <si>
    <t>Base Grav mensual iva localiz  maquinitas</t>
  </si>
  <si>
    <t>Base Grav mensual iva mesas de juego</t>
  </si>
  <si>
    <t>D. REGL.  1789 DE 2004</t>
  </si>
  <si>
    <t xml:space="preserve">ART. 1 NUMERAL 13 </t>
  </si>
  <si>
    <t>Exen Imp Rta Arrend VIS nueva -Valor vis</t>
  </si>
  <si>
    <t>D. REGL 1877 DE 2004</t>
  </si>
  <si>
    <t xml:space="preserve">ART. 1 NUMERAL 16 </t>
  </si>
  <si>
    <t>Fond Invers Inm - VIS - Rta Exentra</t>
  </si>
  <si>
    <t>D. REGL. 4349 DE 2004</t>
  </si>
  <si>
    <t>ART. 1 LIT a) CON REF 2006</t>
  </si>
  <si>
    <t>PT - Present Decl Inf - Prep y Conser DC Pat</t>
  </si>
  <si>
    <t>PT - Present Decl Inf - Prep y Conser DC Ing</t>
  </si>
  <si>
    <t>No Prep Cons DC - por Operac no sup</t>
  </si>
  <si>
    <t xml:space="preserve">ART. 1 LIT b) CON REF 2006 </t>
  </si>
  <si>
    <t>No Prep Cons DC - por Operac no sup Parfis</t>
  </si>
  <si>
    <t>LEY 905 DE 2004</t>
  </si>
  <si>
    <t>ART. 2 - RANGO 1</t>
  </si>
  <si>
    <t>Activos Totales - Mediana Empr</t>
  </si>
  <si>
    <t>ART. 2 - RANGO 2</t>
  </si>
  <si>
    <t>LEY 963 DE 2005</t>
  </si>
  <si>
    <t xml:space="preserve">ART. 2 </t>
  </si>
  <si>
    <t xml:space="preserve">Inversionista Nal Ext - Contrat Est Trib - </t>
  </si>
  <si>
    <t>D. REGL  4713 DE 2005</t>
  </si>
  <si>
    <t xml:space="preserve">ART. 4 PRIMER VALOR </t>
  </si>
  <si>
    <t>Dism base Reten pagos alim - Salario</t>
  </si>
  <si>
    <t>Dism base Reten pagos alim - No Ing</t>
  </si>
  <si>
    <t>D. REGL  4714 DE 2005</t>
  </si>
  <si>
    <t>ART. 21 LIT a) CON REF 2005</t>
  </si>
  <si>
    <t>PRIMER VALOR</t>
  </si>
  <si>
    <t>PT - Declar Inform - Patrim</t>
  </si>
  <si>
    <t>PT - Declar Inform - Ingresos</t>
  </si>
  <si>
    <t>ART.40</t>
  </si>
  <si>
    <t xml:space="preserve">Plazo decl Tribut inferiores a </t>
  </si>
  <si>
    <t xml:space="preserve"> ART.126 - 1 E.T. </t>
  </si>
  <si>
    <t>Ded Aport Fondo Pens Jub, inv, F de Cesan</t>
  </si>
  <si>
    <t xml:space="preserve"> ART.177 - 2 E.T. LIT a) y b) </t>
  </si>
  <si>
    <t>No Ded Pagos a R Común Contr o Superen</t>
  </si>
  <si>
    <t>ART.206 E.T. NUM 4 (2 IGUALES)</t>
  </si>
  <si>
    <t>R Ex - Ces e Int Ces - Pro1/2  6 meses no +</t>
  </si>
  <si>
    <t>RANGOS 1 - Ant - Hasta</t>
  </si>
  <si>
    <t xml:space="preserve">No Gravado 90%  </t>
  </si>
  <si>
    <t>RANGOS 2 - Ant - Hasta</t>
  </si>
  <si>
    <t xml:space="preserve">No Gravado 80%  </t>
  </si>
  <si>
    <t>RANGOS 3 - Ant - Hasta</t>
  </si>
  <si>
    <t xml:space="preserve">No Gravado 60%  </t>
  </si>
  <si>
    <t>RANGOS 4 - Ant - Hasta</t>
  </si>
  <si>
    <t xml:space="preserve">No Gravado 40% </t>
  </si>
  <si>
    <t>RANGOS 5 - Ant - Hasta</t>
  </si>
  <si>
    <t xml:space="preserve">No Gravado 20%  </t>
  </si>
  <si>
    <t>RANGOS 6 - Ant - Hasta</t>
  </si>
  <si>
    <t>No Gravado 0%   excede 650</t>
  </si>
  <si>
    <t>ART.206 E.T. NUM 10</t>
  </si>
  <si>
    <t>R Ex - 25% pagos laborales - lim mes</t>
  </si>
  <si>
    <t xml:space="preserve">ART.307 E.T. (2 IGUALES) </t>
  </si>
  <si>
    <t xml:space="preserve">R Ex por muerte o Porción conyugal </t>
  </si>
  <si>
    <t xml:space="preserve">ART.308 E.T. </t>
  </si>
  <si>
    <t>R Ex Herencias dif conyuge o legitimarios</t>
  </si>
  <si>
    <t xml:space="preserve">ART.368-2 E.T. </t>
  </si>
  <si>
    <t>Ag Ret Pers Nat Ciantes - Pat o Ing Año  Ant</t>
  </si>
  <si>
    <t xml:space="preserve">ART.387 INC. 3 E.T. </t>
  </si>
  <si>
    <t>Dism Ret por Salud y Educ - Ing Año Ant -</t>
  </si>
  <si>
    <t xml:space="preserve">ART.401-1 E.T. </t>
  </si>
  <si>
    <t>Base Retef colocac indep juegos s y azar</t>
  </si>
  <si>
    <t xml:space="preserve">ART.404-1 E.T. </t>
  </si>
  <si>
    <t>Base Retefuente por premios (Lot Rif Apst)</t>
  </si>
  <si>
    <t>ART.476 NUMERAL 21 E.T.</t>
  </si>
  <si>
    <t>Srv Exc iva - Publ períod  Ventas año Ant inf</t>
  </si>
  <si>
    <t>Srv Exc iva - Publ Emisoras  Vtas año Ant inf</t>
  </si>
  <si>
    <t>Srv Exc iva - Publ TV Reg Ventas año Ant inf</t>
  </si>
  <si>
    <t>ART.499 E.T.</t>
  </si>
  <si>
    <t xml:space="preserve">NUMERAL 6 </t>
  </si>
  <si>
    <t xml:space="preserve">R. Simpl - Contratos Año Ant y respectivo Año </t>
  </si>
  <si>
    <t>NUMERAL 7</t>
  </si>
  <si>
    <t xml:space="preserve">PARÁGRAFO 1 </t>
  </si>
  <si>
    <t xml:space="preserve">R. Simpl - Contratos suscritos </t>
  </si>
  <si>
    <t>ART. 521 E.T.</t>
  </si>
  <si>
    <t xml:space="preserve">LITERAL a) </t>
  </si>
  <si>
    <t>Imp de Timbre Cheques</t>
  </si>
  <si>
    <t>LITERAL b)</t>
  </si>
  <si>
    <t>Imp de Timbre Bonos nominativos (0,5)</t>
  </si>
  <si>
    <t>ART. 523 E.T.</t>
  </si>
  <si>
    <t xml:space="preserve">NUMERAL 1 PRIMER VALOR </t>
  </si>
  <si>
    <t>Im Timbre Pasaportes exp País</t>
  </si>
  <si>
    <t xml:space="preserve">NUMERAL 1 SEGUNDO VALOR </t>
  </si>
  <si>
    <t>Im Timbre Revalidac  Pasaportes exp País</t>
  </si>
  <si>
    <t xml:space="preserve">NUMERAL 2 PRIMER VALOR </t>
  </si>
  <si>
    <t>Imp Timbre Conseción exp bosques baldios</t>
  </si>
  <si>
    <t xml:space="preserve">NUMERAL 2 SEGUNDO VALOR </t>
  </si>
  <si>
    <t xml:space="preserve">Imp Timbre Revalid Conseción exp bosques </t>
  </si>
  <si>
    <t xml:space="preserve">NUMERAL 3 </t>
  </si>
  <si>
    <t xml:space="preserve">Imp Timbre aporte zona esmeraldif </t>
  </si>
  <si>
    <t xml:space="preserve">NUMERAL 4 PRIMER VALOR </t>
  </si>
  <si>
    <t>Imp Timbre Licencia porte armas fuego</t>
  </si>
  <si>
    <t xml:space="preserve">NUMERAL 4 SEGUNDO VALOR </t>
  </si>
  <si>
    <t>Imp Timbre renovación Licencia porte arm</t>
  </si>
  <si>
    <t xml:space="preserve">NUMERAL 5 PRIMER VALOR </t>
  </si>
  <si>
    <t>Imp Timbre Licencia municiones y y explos</t>
  </si>
  <si>
    <t xml:space="preserve">NUMERAL 5 SEGUNDO VALOR </t>
  </si>
  <si>
    <t>Imp Timbre Renov Licencia munic y explos</t>
  </si>
  <si>
    <t xml:space="preserve">NUMERAL 6 PRIMER VALOR </t>
  </si>
  <si>
    <t>Imp Timbre Reconocimietno Pers Juridic</t>
  </si>
  <si>
    <t xml:space="preserve">NUMERAL 6 SEGUNDO VALOR </t>
  </si>
  <si>
    <t>Imp Timbre Reconocim pers jurid Esal</t>
  </si>
  <si>
    <t>ART. 544 E.T.</t>
  </si>
  <si>
    <t>Multa Func Oficial adm doc sin timbre</t>
  </si>
  <si>
    <t>ART. 545 E.T.</t>
  </si>
  <si>
    <t>Multa obstaculicese impida control imp timbre</t>
  </si>
  <si>
    <t>ART. 546 E.T.</t>
  </si>
  <si>
    <t>Sanción a autoridades por no apoyo timbre</t>
  </si>
  <si>
    <t xml:space="preserve"> SEGUNDO VALOR </t>
  </si>
  <si>
    <t xml:space="preserve">ART.588 PARÁGRAFO 2 E.T. </t>
  </si>
  <si>
    <t>Sanción correcc decl dadas x no presen - max</t>
  </si>
  <si>
    <t>ART.592 E.T.</t>
  </si>
  <si>
    <t>Ingresos para no declar menores ingresos</t>
  </si>
  <si>
    <t>Patrimon  para no declar menores ingresos</t>
  </si>
  <si>
    <t>ART.593 E.T.</t>
  </si>
  <si>
    <t xml:space="preserve">NUMERAL 1 </t>
  </si>
  <si>
    <t xml:space="preserve">Asalar Patrimonio  para no declar no exced </t>
  </si>
  <si>
    <t xml:space="preserve">Asalar Ingr para no declar No superior </t>
  </si>
  <si>
    <t>ART.594-1 E.T.</t>
  </si>
  <si>
    <t xml:space="preserve">T Ind Patrimonio  para no declar no exced </t>
  </si>
  <si>
    <t>ART.594-3 E.T.</t>
  </si>
  <si>
    <t xml:space="preserve">T Ind  Ingr para no declar No superior </t>
  </si>
  <si>
    <t xml:space="preserve">LITERALES a) y b) </t>
  </si>
  <si>
    <t>Compr T de Cred y consumos - No exceda</t>
  </si>
  <si>
    <t xml:space="preserve">LITERAL c) </t>
  </si>
  <si>
    <t>Consignac durante el año  - No exceda</t>
  </si>
  <si>
    <t>ART.596 Y ART. 599 E.T. NUMERALES 6</t>
  </si>
  <si>
    <t>Firma Contador - Pat Ing Br - Del año - exc</t>
  </si>
  <si>
    <t xml:space="preserve">ART.602 Y ART. 606 E.T. NUMERALES 6 </t>
  </si>
  <si>
    <t>Firma Contador - Pat Ing Br - Año Anter - exc</t>
  </si>
  <si>
    <t>ART. 260-10 E.T.</t>
  </si>
  <si>
    <t xml:space="preserve">A.1. (2 IGUALES) </t>
  </si>
  <si>
    <t>Sanc Doc Comp Ext Err - (1% oper ) No exc</t>
  </si>
  <si>
    <t xml:space="preserve">A.2. (2 IGUALES) </t>
  </si>
  <si>
    <t xml:space="preserve">Sin base 0,5% Ing nt - 0.5% Pat bruto </t>
  </si>
  <si>
    <t xml:space="preserve">B.1. (2 IGUALES) </t>
  </si>
  <si>
    <t xml:space="preserve">Dec Inform 1% Oper mes- 0,5% Ing nt -0,5Pb </t>
  </si>
  <si>
    <t xml:space="preserve">B.3. (2 IGUALES) </t>
  </si>
  <si>
    <t>Dec Inform Correcc 1% Oper  Totales - No ex</t>
  </si>
  <si>
    <t>B.4. (2 IGUALES)</t>
  </si>
  <si>
    <t>No Decl emplaz 20% operaciones - no exc</t>
  </si>
  <si>
    <t xml:space="preserve">ART.639 E.T. </t>
  </si>
  <si>
    <t>Sanción Mínima</t>
  </si>
  <si>
    <t xml:space="preserve">ART.641 E.T. (2 IGUALES) </t>
  </si>
  <si>
    <t>S extem sin imp (0.5% ing br 1% Pb)- no exc</t>
  </si>
  <si>
    <t xml:space="preserve">ART.642 E.T. (2 IGUALES) </t>
  </si>
  <si>
    <t>S ext Empl sin (0.5% ing br 1% Pb)- no exc</t>
  </si>
  <si>
    <t xml:space="preserve">ART.651 E.T. </t>
  </si>
  <si>
    <t>Sanción por no inform (Medios Magnéticos)</t>
  </si>
  <si>
    <t>ART.652 E.T.</t>
  </si>
  <si>
    <t>Sanción facturar sin requisitos - no exc</t>
  </si>
  <si>
    <t>ART.655 E.T.</t>
  </si>
  <si>
    <t>Sanción Irreg Contabilidad  - no exc</t>
  </si>
  <si>
    <t>ART.659-1 E.T.</t>
  </si>
  <si>
    <t>Sanción Sociedades Contadores</t>
  </si>
  <si>
    <t>ART.660 E.T.</t>
  </si>
  <si>
    <t>Mayor Vr pagar menor sal fav - susp firma</t>
  </si>
  <si>
    <t xml:space="preserve">ART.674 E.T.( 3 IGUALES) </t>
  </si>
  <si>
    <t xml:space="preserve">San a bancos errores verif decl </t>
  </si>
  <si>
    <t>ART.675 E.T.</t>
  </si>
  <si>
    <t xml:space="preserve">San a bancos incons doc identif </t>
  </si>
  <si>
    <t xml:space="preserve">NUMERAL 2 </t>
  </si>
  <si>
    <t>ART.676 E.T.</t>
  </si>
  <si>
    <t xml:space="preserve">San a bancos extemp entrega inform </t>
  </si>
  <si>
    <t>ART.814 E.T</t>
  </si>
  <si>
    <t>Garantía personal deuda no superior</t>
  </si>
  <si>
    <t>ART.820 E.T.</t>
  </si>
  <si>
    <t>Canc deuda dian fallec insol  sin noticia</t>
  </si>
  <si>
    <t>ART.844 E.T.</t>
  </si>
  <si>
    <t>Avisar a la Dian bienes fallec suces - sup</t>
  </si>
  <si>
    <t>ART.862 E.T. .</t>
  </si>
  <si>
    <t>Devol saldos a fav - En Títulos vr super</t>
  </si>
  <si>
    <t>DECRETO 2715 DE 1983 ART. 1</t>
  </si>
  <si>
    <t xml:space="preserve">INCISO 1 </t>
  </si>
  <si>
    <t>Int Cts ahorro UVR No Reten  Int diario inf</t>
  </si>
  <si>
    <t xml:space="preserve">INCISO 2 </t>
  </si>
  <si>
    <t>Int Cts ahorro NO UVR No Reten  Int diario inf</t>
  </si>
  <si>
    <t>DECRETO 2775 DE 1983</t>
  </si>
  <si>
    <t xml:space="preserve">76 ART. 2 </t>
  </si>
  <si>
    <t>Int Cts Cesión Tit Cap Seg Vida Int diario inf</t>
  </si>
  <si>
    <t xml:space="preserve">77 ART. 6 </t>
  </si>
  <si>
    <t xml:space="preserve">Retefuente por Servicios inferior a </t>
  </si>
  <si>
    <t xml:space="preserve">DECRETO 1512 DE 1985 ART. 5 ,INCISO 3, LITERAL m) </t>
  </si>
  <si>
    <t>No Retefuente Otros Ing Trib - inferiores a</t>
  </si>
  <si>
    <t xml:space="preserve">DECRETO 198 DE 1988 ART. 3 </t>
  </si>
  <si>
    <t>No Retef pagos F mutuos inv Ren F mes inf</t>
  </si>
  <si>
    <t xml:space="preserve">DECRETO 1189 DE 1988 ART.13 DOS VALORES IGUALES </t>
  </si>
  <si>
    <t>No Retef pagos coop Interes diario inf</t>
  </si>
  <si>
    <t xml:space="preserve">DECRETO 3019 DE 1989 ART. 6 </t>
  </si>
  <si>
    <t>Bienes depreciables en el mismo año</t>
  </si>
  <si>
    <t xml:space="preserve">DECRETO 2595 DE 1993 ART. 1 </t>
  </si>
  <si>
    <t>No Retef Prod Agríc sin procesam - no exc</t>
  </si>
  <si>
    <t xml:space="preserve">DECRETO 1479 DE 1996 ART. 1 </t>
  </si>
  <si>
    <t>No Retef Café Perg o cereza - no exc</t>
  </si>
  <si>
    <t>DECRETO 782 DE 1996</t>
  </si>
  <si>
    <t xml:space="preserve">ART. 1 PRIMER VALOR </t>
  </si>
  <si>
    <t xml:space="preserve">No Reteiva Servicos -pago inferior a </t>
  </si>
  <si>
    <t xml:space="preserve">ART. 1 SEGUNDO VALOR </t>
  </si>
  <si>
    <t xml:space="preserve">No Reteiva Compras  - pago inferior a </t>
  </si>
  <si>
    <t xml:space="preserve">DECRETO 890 DE 1997 ART.3 LIT b) </t>
  </si>
  <si>
    <t>Microempresa - Total Activos no super</t>
  </si>
  <si>
    <t xml:space="preserve">DECRETO 260 DE 2001 ART. 1 Y ART. 2 LITERALES a) y b) </t>
  </si>
  <si>
    <t>Retefuente honorarios, comisiones, contratos consult Admón delegada -  o superen 11%</t>
  </si>
  <si>
    <t xml:space="preserve">DECRETO 3110 DE 2004 ART.1 LITERALES a) y b) </t>
  </si>
  <si>
    <t>Retefuente Servicios 11% -  o superen</t>
  </si>
  <si>
    <t xml:space="preserve">DECRETO 3595 DE 2005 ART.1 </t>
  </si>
  <si>
    <t>Retefuente Emolumentos 6% -  o superen</t>
  </si>
  <si>
    <t>DECRETO 4123 DE 2005 ART. 5</t>
  </si>
  <si>
    <t>Inv A Fij Extracc No renov Pta marcha 48 ms</t>
  </si>
  <si>
    <t>DECRETO  4710  de  2005  ART 1</t>
  </si>
  <si>
    <t>Imp Timbre por salida del País</t>
  </si>
  <si>
    <t>DECRETO  4711  de  2005 ART 1 (119 E.T)</t>
  </si>
  <si>
    <t>Ded Interese Ptmo vivienda año</t>
  </si>
  <si>
    <t>DECRETO  4713  de  2005</t>
  </si>
  <si>
    <t>Ingresos Laborales para dism base retef</t>
  </si>
  <si>
    <t xml:space="preserve">ART. 3 </t>
  </si>
  <si>
    <t>Ingr Lab  para dism base retef salud y ed</t>
  </si>
  <si>
    <t xml:space="preserve">ART. 5 </t>
  </si>
  <si>
    <t xml:space="preserve">Ded Interese Ptmo vivienda mes </t>
  </si>
  <si>
    <t>DECRETO  4714  de  2005  -ART 4</t>
  </si>
  <si>
    <t>Sanc Max Correc Decl Art 580 de 2005</t>
  </si>
  <si>
    <t>Sanc Max Correc Decl Art 580 de 2006</t>
  </si>
  <si>
    <t>DECRETO  4716  de  2005  -  ART 1</t>
  </si>
  <si>
    <t xml:space="preserve"> LITERAL a) </t>
  </si>
  <si>
    <t>Valor en $                       Año   2.010</t>
  </si>
  <si>
    <t>PARA  EL  AÑO  GRAVABLE  2009</t>
  </si>
  <si>
    <r>
      <rPr>
        <b/>
        <sz val="12"/>
        <color indexed="8"/>
        <rFont val="Arial"/>
        <family val="2"/>
      </rPr>
      <t xml:space="preserve">Resolución 12115 </t>
    </r>
    <r>
      <rPr>
        <sz val="12"/>
        <color indexed="8"/>
        <rFont val="Arial"/>
        <family val="2"/>
      </rPr>
      <t xml:space="preserve">Que de acuerdo con la certificación suscrita por la Coordinadora del Banco de Datos del Departamento Administrativo Nacional de Estadística - DANE, la variación acumulada del índice de precios al consumidor para ingresos medios, entre el 1º de octubre de 2008 y el 1º de octubre de 2009 fue de </t>
    </r>
    <r>
      <rPr>
        <b/>
        <sz val="12"/>
        <color indexed="10"/>
        <rFont val="Arial"/>
        <family val="2"/>
      </rPr>
      <t>3,33%</t>
    </r>
    <r>
      <rPr>
        <sz val="12"/>
        <color indexed="8"/>
        <rFont val="Arial"/>
        <family val="2"/>
      </rPr>
      <t>.</t>
    </r>
  </si>
  <si>
    <r>
      <rPr>
        <b/>
        <sz val="12"/>
        <color indexed="8"/>
        <rFont val="Arial"/>
        <family val="2"/>
      </rPr>
      <t>Decreto 4930 de Dic 17 de 2009.- Artículo 2</t>
    </r>
    <r>
      <rPr>
        <sz val="12"/>
        <color indexed="8"/>
        <rFont val="Arial"/>
        <family val="2"/>
      </rPr>
      <t xml:space="preserve">. </t>
    </r>
    <r>
      <rPr>
        <sz val="12"/>
        <color indexed="8"/>
        <rFont val="Arial"/>
        <family val="2"/>
      </rPr>
      <t xml:space="preserve">Ajuste del costo de los activos. Los contribuyentes podrán </t>
    </r>
    <r>
      <rPr>
        <b/>
        <sz val="12"/>
        <color indexed="10"/>
        <rFont val="Arial"/>
        <family val="2"/>
      </rPr>
      <t>ajustar el costo de los activos fijos por el año gravable 2009, en un tres punto treinta y tres por ciento (3,33%),</t>
    </r>
    <r>
      <rPr>
        <sz val="12"/>
        <color indexed="8"/>
        <rFont val="Arial"/>
        <family val="2"/>
      </rPr>
      <t xml:space="preserve"> de acuerdo con lo previsto en el artículo 70 del Estatuto Tributario.</t>
    </r>
  </si>
  <si>
    <t xml:space="preserve">NOTA.- AÑO  GRAVABLE 2007 </t>
  </si>
  <si>
    <t>RANGOS  EN  UVT</t>
  </si>
  <si>
    <t>IMPUESTO</t>
  </si>
  <si>
    <r>
      <t xml:space="preserve">LEY 1111/2006.- ARTICULO 21. </t>
    </r>
    <r>
      <rPr>
        <sz val="12"/>
        <color indexed="8"/>
        <rFont val="Arial"/>
        <family val="2"/>
      </rPr>
      <t xml:space="preserve"> Modificase el artículo 280 del Estatuto Tributario, el cual queda así:</t>
    </r>
  </si>
  <si>
    <r>
      <rPr>
        <b/>
        <sz val="12"/>
        <color indexed="8"/>
        <rFont val="Arial"/>
        <family val="2"/>
      </rPr>
      <t>Resolucion 1063 del 3 de diciembre de 2008</t>
    </r>
    <r>
      <rPr>
        <sz val="12"/>
        <color indexed="8"/>
        <rFont val="Arial"/>
        <family val="2"/>
      </rPr>
      <t xml:space="preserve">.- Que de acuerdo con la certificación suscrita por la Coordinadora del Banco de Datos del Departamento Administrativo Nacional de Estadística - DANE, la variación acumulada del índice de precios al consumidor para ingresos medios, entre el 1º de octubre de 2007 y el 1º de octubre de 2008 fue de </t>
    </r>
    <r>
      <rPr>
        <b/>
        <sz val="12"/>
        <color indexed="10"/>
        <rFont val="Arial"/>
        <family val="2"/>
      </rPr>
      <t>7,75%.</t>
    </r>
  </si>
  <si>
    <r>
      <t xml:space="preserve">ARTICULO 22.  </t>
    </r>
    <r>
      <rPr>
        <sz val="12"/>
        <color indexed="8"/>
        <rFont val="Arial"/>
        <family val="2"/>
      </rPr>
      <t>Modificase el artículo 281 del Estatuto Tributario, el cual queda así:</t>
    </r>
  </si>
  <si>
    <r>
      <t>“Artículo 281.  Efectos del reajuste fiscal.</t>
    </r>
    <r>
      <rPr>
        <sz val="12"/>
        <color indexed="8"/>
        <rFont val="Arial"/>
        <family val="2"/>
      </rPr>
      <t xml:space="preserve"> El reajuste fiscal sobre los activos patrimoniales produce efecto para la determinación de:</t>
    </r>
  </si>
  <si>
    <t>La renta en la enajenación de activos fijos.</t>
  </si>
  <si>
    <t xml:space="preserve">La ganancia ocasional obtenida en la enajenación de activos que hubieren hecho parte del activo fijo del contribuyente por un término de dos (2) años o más. </t>
  </si>
  <si>
    <t>La renta presuntiva.</t>
  </si>
  <si>
    <t>El patrimonio líquido.”</t>
  </si>
  <si>
    <r>
      <t xml:space="preserve">Resolución 15013 del 6 de diciembre de 2007.- ART.- 2.  Ajuste al costo de los activos.   El porcentaje de ajuste del costo de los activos fijos en las declaraciones de renta y complementarios para el </t>
    </r>
    <r>
      <rPr>
        <b/>
        <sz val="12"/>
        <color indexed="10"/>
        <rFont val="Arial"/>
        <family val="2"/>
      </rPr>
      <t>año gravable 2007</t>
    </r>
    <r>
      <rPr>
        <sz val="12"/>
        <color indexed="8"/>
        <rFont val="Arial"/>
        <family val="2"/>
      </rPr>
      <t xml:space="preserve">, de acuerdo con lo previsto en el artículo 70 del Estatuto Tributario, es del </t>
    </r>
    <r>
      <rPr>
        <b/>
        <sz val="12"/>
        <color indexed="10"/>
        <rFont val="Arial"/>
        <family val="2"/>
      </rPr>
      <t>cinco punto quince por ciento (5.15%).</t>
    </r>
  </si>
  <si>
    <r>
      <t xml:space="preserve">Resolución 15652 del 28 de diciembre de 2006.- ART.- 2. Ajuste al costo de los activos. </t>
    </r>
    <r>
      <rPr>
        <sz val="12"/>
        <rFont val="Arial"/>
        <family val="2"/>
      </rPr>
      <t xml:space="preserve">El porcentaje de ajuste del costo de los activos fijos en las declaraciones de renta y complementarios para el </t>
    </r>
    <r>
      <rPr>
        <b/>
        <sz val="12"/>
        <color indexed="10"/>
        <rFont val="Arial"/>
        <family val="2"/>
      </rPr>
      <t>año gravable 2006,</t>
    </r>
    <r>
      <rPr>
        <sz val="12"/>
        <rFont val="Arial"/>
        <family val="2"/>
      </rPr>
      <t xml:space="preserve"> de acuerdo con lo previsto en el artículo 70 del Estatuto Tributario, </t>
    </r>
    <r>
      <rPr>
        <b/>
        <sz val="12"/>
        <color indexed="10"/>
        <rFont val="Arial"/>
        <family val="2"/>
      </rPr>
      <t xml:space="preserve">es del cuatro punto ochenta y siete por ciento ( 4.87%). </t>
    </r>
  </si>
  <si>
    <t>PARA  EL  AÑO  GRAVABLE  2008</t>
  </si>
  <si>
    <t xml:space="preserve">        Normas Tributarias que se afectan por el cambio en el porcentaje </t>
  </si>
  <si>
    <t>NOTA.- AÑO  GRAVABLE 2006 - DECLARENTA   2006</t>
  </si>
  <si>
    <t>Rangos</t>
  </si>
  <si>
    <t>En UVT</t>
  </si>
  <si>
    <t>Tarifa</t>
  </si>
  <si>
    <t>Impuesto</t>
  </si>
  <si>
    <t>Desde</t>
  </si>
  <si>
    <t>Hasta</t>
  </si>
  <si>
    <t>Marginal</t>
  </si>
  <si>
    <t>(Renta Gravable o Ganancia Ocasional Gravable Expresada en UVT  menos 1.090 UVT) * 19%</t>
  </si>
  <si>
    <t>En adelante</t>
  </si>
  <si>
    <t>Valor en $                       Año   2.011</t>
  </si>
  <si>
    <t>PARA  EL  AÑO  GRAVABLE  2010</t>
  </si>
  <si>
    <r>
      <t>Decreto 4837 de 2010 .- Artículo 2º. Ajuste del costo de los activos</t>
    </r>
    <r>
      <rPr>
        <sz val="12"/>
        <color indexed="8"/>
        <rFont val="Arial"/>
        <family val="2"/>
      </rPr>
      <t>.- Los contribuyentes podrán ajustar el costo de los activos fijos por el año gravable 2010, en un dos punto treinta y cinco por ciento (2,35%), de acuerdo con lo previsto en el artículo 70 del Estatuto Tributario.</t>
    </r>
  </si>
  <si>
    <r>
      <t>Resolución 12066 del 19 de octubre de 2010</t>
    </r>
    <r>
      <rPr>
        <sz val="12"/>
        <color indexed="8"/>
        <rFont val="Arial"/>
        <family val="2"/>
      </rPr>
      <t xml:space="preserve">.- la variación acumulada del índice de precios al consumidor para ingresos medios, entre el 1º de octubre de 2009 y el 1º de octubre de 2010, fue de </t>
    </r>
    <r>
      <rPr>
        <b/>
        <sz val="12"/>
        <color indexed="10"/>
        <rFont val="Arial"/>
        <family val="2"/>
      </rPr>
      <t>2,35%</t>
    </r>
    <r>
      <rPr>
        <sz val="12"/>
        <color indexed="10"/>
        <rFont val="Arial"/>
        <family val="2"/>
      </rPr>
      <t>.</t>
    </r>
  </si>
  <si>
    <t>Valor en $                       Año   2.012</t>
  </si>
  <si>
    <r>
      <rPr>
        <b/>
        <sz val="12"/>
        <color indexed="8"/>
        <rFont val="Arial"/>
        <family val="2"/>
      </rPr>
      <t>DECRETO 4908 DE 2011.- ARTICULO 2</t>
    </r>
    <r>
      <rPr>
        <sz val="12"/>
        <color indexed="8"/>
        <rFont val="Arial"/>
        <family val="2"/>
      </rPr>
      <t>..- Ajuste del costo de los activos. Los contribuyentes podrán ajustar el costo de los activos fijos por el año gravable 2011, en un tres punto sesenta y cinco por ciento (3,65%), de acuerdo con lo previsto en el artículo 70 del Estatuto Tributario</t>
    </r>
  </si>
  <si>
    <r>
      <t>Resolución 11963 del 17 de Noviembre de 2011</t>
    </r>
    <r>
      <rPr>
        <sz val="12"/>
        <color indexed="8"/>
        <rFont val="Arial"/>
        <family val="2"/>
      </rPr>
      <t xml:space="preserve">.- la variación acumulada del índice de precios al consumidor para ingresos medios, entre el 1º de octubre de 2009 y el 1º de octubre de 2010, fue de  </t>
    </r>
    <r>
      <rPr>
        <b/>
        <sz val="12"/>
        <color indexed="10"/>
        <rFont val="Arial"/>
        <family val="2"/>
      </rPr>
      <t>3,65%</t>
    </r>
    <r>
      <rPr>
        <sz val="12"/>
        <color indexed="10"/>
        <rFont val="Arial"/>
        <family val="2"/>
      </rPr>
      <t>.</t>
    </r>
  </si>
  <si>
    <t>Que el inciso tercero del artículo 868 del Estatuto Tributario establece que le corresponde al Director General de la Dirección de Impuestos y Aduanas Nacionales, publicar mediante Resolución antes del 1º de enero de cada año, el valor de la Unidad de Valor Tributario – UVT, aplicable para el año gravable siguiente.</t>
  </si>
  <si>
    <t>En mérito de lo expuesto, el Director General de la Dirección de Impuestos y Aduanas Nacionales,</t>
  </si>
  <si>
    <r>
      <t>ARTÍCULO 1. Valor de la Unidad de Valor Tributario - UVT</t>
    </r>
    <r>
      <rPr>
        <sz val="12"/>
        <color indexed="8"/>
        <rFont val="Arial"/>
        <family val="2"/>
      </rPr>
      <t xml:space="preserve">. Fijase en veintiséis mil ochocientos cuarenta y un pesos </t>
    </r>
    <r>
      <rPr>
        <sz val="12"/>
        <color indexed="10"/>
        <rFont val="Arial"/>
        <family val="2"/>
      </rPr>
      <t>($26.841)</t>
    </r>
    <r>
      <rPr>
        <sz val="12"/>
        <color indexed="8"/>
        <rFont val="Arial"/>
        <family val="2"/>
      </rPr>
      <t xml:space="preserve"> el valor de la Unidad de Valor Tributario – UVT, que regirá durante el año </t>
    </r>
    <r>
      <rPr>
        <sz val="12"/>
        <color indexed="10"/>
        <rFont val="Arial"/>
        <family val="2"/>
      </rPr>
      <t>2013.</t>
    </r>
  </si>
  <si>
    <t>Valor en $                       Año   2.013</t>
  </si>
  <si>
    <t xml:space="preserve">  </t>
  </si>
  <si>
    <t>PUBLÍQUESE Y CÚMPLASE.</t>
  </si>
  <si>
    <r>
      <t>Decreto 2714 del 27 Dic 2012.- Artículo 2</t>
    </r>
    <r>
      <rPr>
        <sz val="12"/>
        <color indexed="8"/>
        <rFont val="Arial"/>
        <family val="2"/>
      </rPr>
      <t>. Ajuste del costo de los activos. Los contribuyentes podrán ajustar el costo de los activos fijos por el año gravable 2012, en un tres punto cero cuatro por ciento (</t>
    </r>
    <r>
      <rPr>
        <b/>
        <sz val="12"/>
        <color rgb="FFFF0000"/>
        <rFont val="Arial"/>
        <family val="2"/>
      </rPr>
      <t>3.04</t>
    </r>
    <r>
      <rPr>
        <sz val="12"/>
        <color indexed="8"/>
        <rFont val="Arial"/>
        <family val="2"/>
      </rPr>
      <t xml:space="preserve">%), de acuerdo con lo previsto en el artículo 70 del Estatuto Tributario. </t>
    </r>
  </si>
  <si>
    <t>Valor en $                       Año   2.014</t>
  </si>
  <si>
    <r>
      <rPr>
        <b/>
        <sz val="12"/>
        <color theme="1"/>
        <rFont val="Arial"/>
        <family val="2"/>
      </rPr>
      <t xml:space="preserve">Resolución  00027 del 31 octubre de 2013.- </t>
    </r>
    <r>
      <rPr>
        <sz val="12"/>
        <color theme="1"/>
        <rFont val="Arial"/>
        <family val="2"/>
      </rPr>
      <t xml:space="preserve">Que de acuerdo con la certificación suscrita por la Coordinadora del Grupo Banco de Datos de la Dirección de Difusión Mercadeo y Cultura Estadística del Departamento Administrativo Nacional de Estadística - DANE, la variación acumulada del índice l 31 e precios al consumidor para ingresos medios, entre el 1º de octubre de 2012 y el 1º de octubre de 2013, fue de </t>
    </r>
    <r>
      <rPr>
        <sz val="12"/>
        <color rgb="FFFF0000"/>
        <rFont val="Arial"/>
        <family val="2"/>
      </rPr>
      <t>2,40</t>
    </r>
    <r>
      <rPr>
        <sz val="12"/>
        <color theme="1"/>
        <rFont val="Arial"/>
        <family val="2"/>
      </rPr>
      <t>%.</t>
    </r>
  </si>
  <si>
    <t>Que el artículo 868 del Estatuto Tributario establece la Unidad de Valor Tributario - UVT, como la medida de valor que permite ajustar los valores contenidos en las disposiciones relativas a los impuestos y obligaciones administrados por la Dirección de Impuestos y Aduanas Nacionales, la cual se reajustará anualmente en la variación del índice de precios al consumidor para ingresos medios, certificada por el Departamento Administrativo Nacional de Estadística, en el periodo comprendido entre el primero 1º de octubre del año anterior al gravable y la misma fecha del año inmediatamente anterior a este.</t>
  </si>
  <si>
    <t>Valor en $                       Año   2.015</t>
  </si>
  <si>
    <r>
      <rPr>
        <b/>
        <sz val="12"/>
        <color theme="1"/>
        <rFont val="Arial"/>
        <family val="2"/>
      </rPr>
      <t>DECRETO 2921  DE 17 DIC DE 2013.- ARTICULO 20</t>
    </r>
    <r>
      <rPr>
        <sz val="12"/>
        <color theme="1"/>
        <rFont val="Arial"/>
        <family val="2"/>
      </rPr>
      <t>.- Ajuste del costo de los activos. Los contribuyentes podrán ajustar el costo de ·Ios activos fijos por el año gravable 2013, en un dos punto cuarenta por ciento (2,40%), de acuerdo con lo previsto en el artículo 70 del Estatuto Tributario.</t>
    </r>
  </si>
  <si>
    <r>
      <rPr>
        <b/>
        <sz val="12"/>
        <color theme="1"/>
        <rFont val="Arial"/>
        <family val="2"/>
      </rPr>
      <t>Resolución 245 de 03 Dic 2014</t>
    </r>
    <r>
      <rPr>
        <sz val="12"/>
        <color theme="1"/>
        <rFont val="Arial"/>
        <family val="2"/>
      </rPr>
      <t xml:space="preserve">.- Que de acuerdo con la certificación suscrita por la Coordinadora del Grupo Banco de Datos de la Dirección de Difusión Mercadeo y Cultura Estadística del Departamento Administrativo Nacional de Estadística - DANE, la variación acumulada del índice de precios al consumidor para ingresos medios, entre el 1º de octubre de 2013 y el 1º de octubre de 2014, fue de </t>
    </r>
    <r>
      <rPr>
        <sz val="12"/>
        <color rgb="FFFF0000"/>
        <rFont val="Arial"/>
        <family val="2"/>
      </rPr>
      <t>2,89%.</t>
    </r>
  </si>
  <si>
    <r>
      <t xml:space="preserve">Decreto 2624 del 17 Dic 2014.- ARTICULO </t>
    </r>
    <r>
      <rPr>
        <sz val="12"/>
        <color theme="1"/>
        <rFont val="Arial"/>
        <family val="2"/>
      </rPr>
      <t xml:space="preserve">2°._ Ajuste del costo de los activos. Los contribuyentes podrán ajustar el costo de los activos fijos por el año gravable 2014, en un dos punto ochenta y nueve por ciento </t>
    </r>
    <r>
      <rPr>
        <sz val="12"/>
        <color rgb="FFFF0000"/>
        <rFont val="Arial"/>
        <family val="2"/>
      </rPr>
      <t>(2,89%)</t>
    </r>
    <r>
      <rPr>
        <sz val="12"/>
        <color theme="1"/>
        <rFont val="Arial"/>
        <family val="2"/>
      </rPr>
      <t>, de acuerdo con lo previsto en el artículo 70 del Estatuto Tributario</t>
    </r>
  </si>
  <si>
    <t>En uso de sus facultades legales, en especial de las consagradas en el Artículo 868 del Estatuto Tributario, y</t>
  </si>
  <si>
    <t>CONSIDERANDO:</t>
  </si>
  <si>
    <r>
      <t>ARTICULO 2. </t>
    </r>
    <r>
      <rPr>
        <sz val="12"/>
        <color rgb="FF000000"/>
        <rFont val="Arial"/>
        <family val="2"/>
      </rPr>
      <t>Para efectos de convertir en valores absolutos las cifras y valores expresados en UVT; aplicables a las disposiciones relativas a los impuestos y obligaciones administrados por la Dirección de Impuestos y Aduanas Nacionales de que trata el artículo 868-1 del Estatuto Tributario, se multiplica el número de las Unidades de Valor Tributario UVT por el valor de la UVT y su resultado se aproxima de acuerdo con el procedimiento de aproximaciones de que trata el inciso sexto del artículo 868 del Estatuto Tributario.</t>
    </r>
  </si>
  <si>
    <r>
      <t>ARTICULO 3. Vigencia.</t>
    </r>
    <r>
      <rPr>
        <sz val="12"/>
        <color rgb="FF000000"/>
        <rFont val="Arial"/>
        <family val="2"/>
      </rPr>
      <t> La presente Resolución rige a partir de la fecha de su publicación.</t>
    </r>
  </si>
  <si>
    <t>Director General</t>
  </si>
  <si>
    <r>
      <rPr>
        <b/>
        <sz val="12"/>
        <color rgb="FF000000"/>
        <rFont val="Arial"/>
        <family val="2"/>
      </rPr>
      <t>Resolución 000115 del 6  de  Noviembre de 2015</t>
    </r>
    <r>
      <rPr>
        <sz val="12"/>
        <color rgb="FF000000"/>
        <rFont val="Arial"/>
        <family val="2"/>
      </rPr>
      <t xml:space="preserve">.- Que de acuerdo con la certificación suscrita por el Coordinador del Banco de Datos de la Dirección de Difusión Mercadeo y Cultura Estadística del Departamento Administrativo Nacional de Estadística - DANE, la variación acumulada del índice de precios al consumidor para ingresos medios, entre el 1º de octubre de 2014 y el 1º de octubre de 2015, fue de </t>
    </r>
    <r>
      <rPr>
        <b/>
        <sz val="12"/>
        <color rgb="FFFF0000"/>
        <rFont val="Arial"/>
        <family val="2"/>
      </rPr>
      <t>5,21%</t>
    </r>
    <r>
      <rPr>
        <sz val="12"/>
        <color rgb="FF000000"/>
        <rFont val="Arial"/>
        <family val="2"/>
      </rPr>
      <t>.</t>
    </r>
  </si>
  <si>
    <t>PERSONAS   NATURALES</t>
  </si>
  <si>
    <t>Valor en $                       Año   2.016</t>
  </si>
  <si>
    <t>Que se hace necesario establecer el valor de la Unidad de Valor Tributario – UVT, que regirá para el año gravable 2018.</t>
  </si>
  <si>
    <t>Que se umplió con las formalidades previstas en el numeral 8 del artículo 8 del código de Procedimiento Administrativo y de lo Contencioso Administrativo y en decreto 1081 de 2015, modificado por el decreto 270 de 2017 en relación con la publicación del texto de la presente resolución</t>
  </si>
  <si>
    <t>Valor en $                       Año   2.017</t>
  </si>
  <si>
    <t>Valor en $                       Año   2.018</t>
  </si>
  <si>
    <r>
      <rPr>
        <b/>
        <sz val="12"/>
        <color indexed="8"/>
        <rFont val="Arial"/>
        <family val="2"/>
      </rPr>
      <t>Resolución 0071 del 21 de  noviembre de 2016</t>
    </r>
    <r>
      <rPr>
        <sz val="12"/>
        <color indexed="8"/>
        <rFont val="Arial"/>
        <family val="2"/>
      </rPr>
      <t xml:space="preserve">.- Que de acuerdo con las certificaciones numeros 92298 y 92299 del 25 de octubre de 2016 la variación acumulada del índice de precios al consumidor para ingresos medios, entre el 1º de octubre de 2015 y el 1º de octubre de 2016, fue de </t>
    </r>
    <r>
      <rPr>
        <b/>
        <sz val="12"/>
        <color rgb="FFFF0000"/>
        <rFont val="Arial"/>
        <family val="2"/>
      </rPr>
      <t>7,08%</t>
    </r>
    <r>
      <rPr>
        <sz val="12"/>
        <color indexed="8"/>
        <rFont val="Arial"/>
        <family val="2"/>
      </rPr>
      <t>.</t>
    </r>
  </si>
  <si>
    <r>
      <rPr>
        <b/>
        <sz val="12"/>
        <color rgb="FF000000"/>
        <rFont val="Arial"/>
        <family val="2"/>
      </rPr>
      <t>Resolución  0063 del 14 de noviembre de 2017</t>
    </r>
    <r>
      <rPr>
        <sz val="12"/>
        <color rgb="FF000000"/>
        <rFont val="Arial"/>
        <family val="2"/>
      </rPr>
      <t xml:space="preserve">.- Que de acuerdo con el radicado No 20171510238341 del 13 de octubre de 2017, se certificó por parte del director operativo de la Dirección de Difusión Mercadeo y cultura estadística del Departamento administrativo Nacional de estadisticas DANE,  la variación acumulada del índice de precios al consumidor para ingresos medios, entre el 1º de octubre de 2016 y el 1º de octubre de 2017, fue de </t>
    </r>
    <r>
      <rPr>
        <b/>
        <sz val="12"/>
        <color rgb="FFFF0000"/>
        <rFont val="Arial"/>
        <family val="2"/>
      </rPr>
      <t>4,07%</t>
    </r>
    <r>
      <rPr>
        <sz val="12"/>
        <color rgb="FF000000"/>
        <rFont val="Arial"/>
        <family val="2"/>
      </rPr>
      <t>.</t>
    </r>
  </si>
  <si>
    <t xml:space="preserve">TABLA  DE RETENCION EN LA FUENTE  POR PAGOS  LABORALES  </t>
  </si>
  <si>
    <r>
      <t>Artículo 387. Deducciones que se restarán de la base de retención. &lt;Artículo modificado por el artículo 15 de la Ley 1607 de 2012.&gt; </t>
    </r>
    <r>
      <rPr>
        <sz val="12"/>
        <color rgb="FF000000"/>
        <rFont val="Arial"/>
        <family val="2"/>
      </rPr>
      <t>En el caso de trabajadores que tengan derecho a la deducción por intereses o corrección monetaria en virtud de préstamos para adquisición de vivienda, la base de retención se disminuirá proporcionalmente en la forma que indique el reglamento.</t>
    </r>
  </si>
  <si>
    <t>240</t>
  </si>
  <si>
    <t>TARIFA GENERAL PARA PERSONAS JURíDICAS.</t>
  </si>
  <si>
    <t>TEXTO</t>
  </si>
  <si>
    <t>Pág    Ref Trib</t>
  </si>
  <si>
    <t>Art.      E.T.</t>
  </si>
  <si>
    <t>RESOLUCIÓN  0000 56  DEL 22 DE NOVIEMBRE DE  2018</t>
  </si>
  <si>
    <t>Por la cual se fija el valor de la Unidad de Valor Tributario – UVT aplicable para el año 2019</t>
  </si>
  <si>
    <r>
      <t>ARTÍCULO 1. Valor de la Unidad de Valor Tributario - UVT.</t>
    </r>
    <r>
      <rPr>
        <sz val="12"/>
        <color rgb="FF000000"/>
        <rFont val="Arial"/>
        <family val="2"/>
      </rPr>
      <t xml:space="preserve"> Fijase en </t>
    </r>
    <r>
      <rPr>
        <b/>
        <sz val="12"/>
        <color rgb="FFFF0000"/>
        <rFont val="Arial"/>
        <family val="2"/>
      </rPr>
      <t>treinta y cuatro mil doscientos setenta pesos ($34.270)</t>
    </r>
    <r>
      <rPr>
        <sz val="12"/>
        <color rgb="FF000000"/>
        <rFont val="Arial"/>
        <family val="2"/>
      </rPr>
      <t xml:space="preserve"> el valor de la Unidad de Valor Tributario – UVT, que regirá durante el año 2019.</t>
    </r>
  </si>
  <si>
    <t>Dada en Bogotá, D.C., a los 22 días de noviembre de 2018</t>
  </si>
  <si>
    <t xml:space="preserve">JOSE ANDRES ROMERO  TARAZONA </t>
  </si>
  <si>
    <t>Valor en $                       Año   2.019</t>
  </si>
  <si>
    <r>
      <t>Que mediante certificado No 106258 del 11 de octubre de 2018, se certificó por parte del director operativo de la Dirección de Difusión Mercadeo y cultura estadística del Departamento administrativo Nacional de estadisticas DANE,  la variación acumulada del índice de precios al consumidor para ingresos medios, entre el 1º de octubre de 2016 y el 1º de octubre de 2017, fue de</t>
    </r>
    <r>
      <rPr>
        <sz val="12"/>
        <color rgb="FFFF0000"/>
        <rFont val="Arial"/>
        <family val="2"/>
      </rPr>
      <t xml:space="preserve"> </t>
    </r>
    <r>
      <rPr>
        <b/>
        <sz val="12"/>
        <color rgb="FFFF0000"/>
        <rFont val="Arial"/>
        <family val="2"/>
      </rPr>
      <t>3,36%</t>
    </r>
    <r>
      <rPr>
        <sz val="12"/>
        <color rgb="FF000000"/>
        <rFont val="Arial"/>
        <family val="2"/>
      </rPr>
      <t>.</t>
    </r>
  </si>
  <si>
    <r>
      <rPr>
        <b/>
        <sz val="12"/>
        <color indexed="8"/>
        <rFont val="Arial"/>
        <family val="2"/>
      </rPr>
      <t>Resolución 0056 del 22 de noviembre de 2018</t>
    </r>
    <r>
      <rPr>
        <sz val="12"/>
        <color indexed="8"/>
        <rFont val="Arial"/>
        <family val="2"/>
      </rPr>
      <t xml:space="preserve">.- Que mediante certificado No 106258 del 11 de octubre de 2018, del coordinador de inforamción y servicio al ciudadano del DANE, la variación acumulada del indice de precios al consumidor para ingresos medios, entre le 1° de octubre de 2017 y el 1° de octubre de 2018 fué de </t>
    </r>
    <r>
      <rPr>
        <b/>
        <sz val="12"/>
        <color rgb="FFFF0000"/>
        <rFont val="Arial"/>
        <family val="2"/>
      </rPr>
      <t>3,36%</t>
    </r>
  </si>
  <si>
    <t>Art. 387. Deducciones que se restarán de la base de retención</t>
  </si>
  <si>
    <r>
      <t xml:space="preserve">Modificado- En el caso de trabajadores que tengan derecho a la deducción por </t>
    </r>
    <r>
      <rPr>
        <sz val="11"/>
        <color rgb="FFFF0000"/>
        <rFont val="Arial"/>
        <family val="2"/>
      </rPr>
      <t>intereses</t>
    </r>
    <r>
      <rPr>
        <sz val="11"/>
        <color rgb="FF000000"/>
        <rFont val="Arial"/>
        <family val="2"/>
      </rPr>
      <t xml:space="preserve"> o corrección monetaria en virtud de </t>
    </r>
    <r>
      <rPr>
        <b/>
        <sz val="11"/>
        <color rgb="FFFF0000"/>
        <rFont val="Arial"/>
        <family val="2"/>
      </rPr>
      <t>préstamos para adquisición de vivienda</t>
    </r>
    <r>
      <rPr>
        <sz val="11"/>
        <color rgb="FF000000"/>
        <rFont val="Arial"/>
        <family val="2"/>
      </rPr>
      <t>, la base de retención se disminuirá proporcionalmente en la forma que indique el reglamento. 100 uvt mes.</t>
    </r>
  </si>
  <si>
    <r>
      <t xml:space="preserve">Los </t>
    </r>
    <r>
      <rPr>
        <b/>
        <sz val="11"/>
        <color rgb="FFFF0000"/>
        <rFont val="Arial"/>
        <family val="2"/>
      </rPr>
      <t>pagos por salud</t>
    </r>
    <r>
      <rPr>
        <sz val="11"/>
        <color rgb="FF000000"/>
        <rFont val="Arial"/>
        <family val="2"/>
      </rPr>
      <t xml:space="preserve">, siempre Que el valor a disminuir mensualmente en este último caso, no supere dieciséis </t>
    </r>
    <r>
      <rPr>
        <b/>
        <sz val="11"/>
        <color rgb="FFFF0000"/>
        <rFont val="Arial"/>
        <family val="2"/>
      </rPr>
      <t>(16) UVT mensuales</t>
    </r>
    <r>
      <rPr>
        <sz val="11"/>
        <color rgb="FF000000"/>
        <rFont val="Arial"/>
        <family val="2"/>
      </rPr>
      <t>;</t>
    </r>
  </si>
  <si>
    <r>
      <t>Y una deducción mensual de</t>
    </r>
    <r>
      <rPr>
        <b/>
        <sz val="11"/>
        <color rgb="FFFF0000"/>
        <rFont val="Arial"/>
        <family val="2"/>
      </rPr>
      <t xml:space="preserve"> hasta el 10% del total de los ingresos brutos</t>
    </r>
    <r>
      <rPr>
        <sz val="11"/>
        <color rgb="FF000000"/>
        <rFont val="Arial"/>
        <family val="2"/>
      </rPr>
      <t xml:space="preserve"> provenientes de la relación laboral o legal y reglamentaria del respectivo mes </t>
    </r>
    <r>
      <rPr>
        <b/>
        <sz val="11"/>
        <color rgb="FFFF0000"/>
        <rFont val="Arial"/>
        <family val="2"/>
      </rPr>
      <t>por concepto de dependientes</t>
    </r>
    <r>
      <rPr>
        <sz val="11"/>
        <color rgb="FF000000"/>
        <rFont val="Arial"/>
        <family val="2"/>
      </rPr>
      <t xml:space="preserve">, hasta un máximo de treinta y dos </t>
    </r>
    <r>
      <rPr>
        <b/>
        <sz val="11"/>
        <color rgb="FFFF0000"/>
        <rFont val="Arial"/>
        <family val="2"/>
      </rPr>
      <t>(32) UVT mensuales</t>
    </r>
    <r>
      <rPr>
        <sz val="11"/>
        <color rgb="FF000000"/>
        <rFont val="Arial"/>
        <family val="2"/>
      </rPr>
      <t>.</t>
    </r>
  </si>
  <si>
    <t>Art. 580-1. Ineficacia de las declaraciones de retefuente presentadas sin pago total.</t>
  </si>
  <si>
    <r>
      <t>Inciso 5.- Modificado.</t>
    </r>
    <r>
      <rPr>
        <sz val="11"/>
        <color rgb="FF000000"/>
        <rFont val="Arial"/>
        <family val="2"/>
      </rPr>
      <t xml:space="preserve"> La declaración de retención en la fuente que se haya presentado sin pago total antes del vencimiento del plazo para declarar u oportunamente, producirá efectos legales, siempre y cuando el pago total de la retención se efectúe o se haya efectuado a más tardar dentro de los dos (2) meses siguientes contados a partir de la fecha del vencimiento del plazo para declarar. Lo anterior sin perjuicio de la liquidación de los intereses moratorios a que haya lugar. </t>
    </r>
    <r>
      <rPr>
        <b/>
        <sz val="11"/>
        <color rgb="FFFF0000"/>
        <rFont val="Arial"/>
        <family val="2"/>
      </rPr>
      <t xml:space="preserve">En todo caso, mientras el contribuyente no presente nuevamente la declaración de retención en la fuente con el pago respectivo, la declaración inicialmente presentada se entiende como documento que reconoce una obligación clara, expresa y exigible que podrá ser utilizado por la Administración Tributaria en los procesos de cobro coactivo, aún cuando en el sistema la declaración tenga una marca de ineficaz para el agente retenedor bajo los presupuestos establecidos en este artículo. </t>
    </r>
    <r>
      <rPr>
        <b/>
        <sz val="11"/>
        <color theme="1"/>
        <rFont val="Arial"/>
        <family val="2"/>
      </rPr>
      <t>(Art. 89/Ley 1943)</t>
    </r>
  </si>
  <si>
    <t>ART. 512-13.- NO RESPONSABLES DEL IMPUESTO NACIONAL AL CONSUMO DE RESTAURANTES Y BARES</t>
  </si>
  <si>
    <t>AHORA  DICE:</t>
  </si>
  <si>
    <t>ANTES DECIA:</t>
  </si>
  <si>
    <t>ARTÍCULO 512-13. RÉGIMEN SIMPLIFICADO DEL IMPUESTO NACIONAL AL CONSUMO DE RESTAURANTES Y BARES.</t>
  </si>
  <si>
    <t>b) Que tengan máximo un establecimiento de comercio, sede, local o negocio donde ejercen su actividad.</t>
  </si>
  <si>
    <t>a) Que en el año anterior hubieren obtenido ingresos brutos totales, provenientes de la actividad, inferiores a 3.500 UVT</t>
  </si>
  <si>
    <r>
      <t xml:space="preserve">(Artículo modificado por el artículo 205 de la Ley 1819 de 29 de diciembre de 2016). </t>
    </r>
    <r>
      <rPr>
        <b/>
        <sz val="12"/>
        <color rgb="FFFF0000"/>
        <rFont val="Arial"/>
        <family val="2"/>
      </rPr>
      <t>Al régimen simplificado del impuesto nacional al consumo</t>
    </r>
    <r>
      <rPr>
        <sz val="12"/>
        <color theme="1"/>
        <rFont val="Arial"/>
        <family val="2"/>
      </rPr>
      <t xml:space="preserve"> de restaurantes y bares a que hace referencia el numeral 3 del artículo 512-1 de éste estatuto, pertencen las personas anturales que cumplan la totalidad de las siguientes condiciones:</t>
    </r>
  </si>
  <si>
    <t>3.- Que en el establecimiento de comercio, oficina, sede, local o negocio no se desarrollen ' actividades bajo franquicia, concesión, regalía, autorización o cualquier otro sistema que implique la explotación de intangibles.</t>
  </si>
  <si>
    <t>4.- Que no sean usuarios aduaneros</t>
  </si>
  <si>
    <r>
      <t xml:space="preserve">2.- Que </t>
    </r>
    <r>
      <rPr>
        <b/>
        <sz val="12"/>
        <color rgb="FFFF0000"/>
        <rFont val="Arial"/>
        <family val="2"/>
      </rPr>
      <t>no</t>
    </r>
    <r>
      <rPr>
        <sz val="12"/>
        <color theme="1"/>
        <rFont val="Arial"/>
        <family val="2"/>
      </rPr>
      <t xml:space="preserve"> tengan más de un establecimiento de comercio, oficina, sede, local o negocio donde ejerzan su actividad</t>
    </r>
  </si>
  <si>
    <t>ARTÍCULO 4°. Adiciónese el inciso 3 al parágrafo 2 y adiciónese el parágrafo 3 al artículo 437 del Estatuto Tributario, los cuales quedarán así</t>
  </si>
  <si>
    <r>
      <t>“Artículo 280.  Reajuste fiscal a los activos patrimoniales.</t>
    </r>
    <r>
      <rPr>
        <sz val="12"/>
        <color indexed="8"/>
        <rFont val="Arial"/>
        <family val="2"/>
      </rPr>
      <t xml:space="preserve"> Los contribuyentes podrán ajustar anualmente el costo de los bienes que tengan el carácter de activos fijos en el mismo porcentaje en que se ajusta la Unidad de Valor Tributario, </t>
    </r>
    <r>
      <rPr>
        <b/>
        <sz val="12"/>
        <color rgb="FFFF0000"/>
        <rFont val="Arial"/>
        <family val="2"/>
      </rPr>
      <t>salvo para las personas naturales cuando hubieren optado por el ajuste previsto en el artículo 73 de este Estatuto</t>
    </r>
    <r>
      <rPr>
        <sz val="12"/>
        <color indexed="8"/>
        <rFont val="Arial"/>
        <family val="2"/>
      </rPr>
      <t>.”</t>
    </r>
  </si>
  <si>
    <t>El Director General de la Unidad Administrativa Especial Dirección de Impuestos y Aduanas Nacionales (DIAN), en uso de sus facultades legales, en especial de las consagradas en el artículo 868 del Estatuto Tributario, y</t>
  </si>
  <si>
    <t>Que el Estatuto Tributario en su artículo 868 establece la Unidad de Valor Tributario (UVT) como la medida de valor que permite ajustar los valores contenidos en las disposiciones relativas a los impuestos y obligaciones administrados por la Unidad Administrativa Especial Dirección de Impuestos y Aduanas Nacionales (DIAN)</t>
  </si>
  <si>
    <t>Que el reajuste se efectuará anualmente en la variación del índice de precios al consumidor para ingresos medios en el periodo comprendido entre el 1° de octubre del año anterior al gravable y la misma fecha del año inmediatamente anterior a este, certificada por el Departamento Administrativo Nacional de Estadística (DANE).</t>
  </si>
  <si>
    <t>28 de Noviembre de 2019</t>
  </si>
  <si>
    <t xml:space="preserve">RESOLUCIÓN NÚMERO 000084 </t>
  </si>
  <si>
    <t>Que la utilización por parte del Departamento Administrativo Nacional de Estadística (DANE) de los términos “clase media” en reemplazo de la categoría “ingresos medios” en la certificación mencionada en el considerando anterior, obedece a que en la nueva metodología del índice de Precios al Consumidor (IPC) se utilizó una clasificación por niveles de ingresos de acuerdo a los tamaños del mercado local y dentro de las categorías se encuentra la de “Ingresos Medios” del IPC Base 2008, por lo tanto, de acuerdo con lo manifestado por el Coordinador GIT Información y Servicio al ciudadano de la Dirección de Difusión, Mercadeo y Cultura Estadística del DANE, mediante comunicación número 20191510436711 del 21 de octubre de 2019, “la categoría de “Ingresos Medios” del IPC Base 2008 es equivalente y se corresponde con los “Ingresos Clase Media” de la nueva Base del IPC diciembre de 2018=100.”</t>
  </si>
  <si>
    <r>
      <t>Que según Certificación número 120326 del 7 de octubre de 2019, expedida por el Coordinador GIT Información y Servicio al ciudadano de la Dirección de Difusión, Mercadeo y Cultura Estadística del Departamento Administrativo Nacional de Estadística (DANE),</t>
    </r>
    <r>
      <rPr>
        <b/>
        <sz val="11"/>
        <color rgb="FFFF0000"/>
        <rFont val="Arial"/>
        <family val="2"/>
      </rPr>
      <t xml:space="preserve"> la variación acumulada del índice de precios al consumidor para “clase media” en el periodo comprendido entre el 1º de octubre de 2018 y el 1º de octubre de 2019, fue de 3,90%</t>
    </r>
  </si>
  <si>
    <t>Que el proyecto de resolución se publicó en la página web de la Unidad Administrativa Especial Dirección de Impuestos y Aduanas Nacionales (DIAN) durante los días 6 al 20 de noviembre de 2019, dando cumplimiento al artículo 8° de la Ley 1437 de 2011, en concordancia con lo previsto en el artículo 32 de la Resolución DIAN 204 de 2014.</t>
  </si>
  <si>
    <t>Por lo anterior, se hace necesario establecer el valor de la Unidad de Valor Tributario (UVT), que regirá para el año 2020.</t>
  </si>
  <si>
    <t>En mérito de lo expuesto, el Director General de la Unidad Administrativa Especial Dirección de Impuestos y Aduanas Nacionales (DIAN),</t>
  </si>
  <si>
    <t>RESUELVE:</t>
  </si>
  <si>
    <t>Artículo 2°. Para efectos de convertir en valores absolutos las cifras y valores expresados en UVT aplicables a las disposiciones relativas a los impuestos y obligaciones administrados por la Unidad Administrativa Especial Dirección de Impuestos y Aduanas Nacionales –(DIAN), de que trata el artículo 868-1 del Estatuto Tributario, debe multiplicarse el número de las Unidades de Valor Tributario (UVT) por el valor de la UVT y su resultado se aproxima de acuerdo con el procedimiento de aproximaciones de que trata el inciso sexto del artículo 868 del Estatuto Tributario.</t>
  </si>
  <si>
    <t>Artículo 3°. Publicar la presente Resolución de conformidad con el artículo 65 del Código Administrativo y de lo Contencioso Administrativo</t>
  </si>
  <si>
    <t>Artículo 4. Vigencia. La presente resolución rige a partir de la fecha de su publicación</t>
  </si>
  <si>
    <t>Publíquese y cúmplase. Dada en Bogotá, D. C., a 28 de noviembre de 2019. El Director General</t>
  </si>
  <si>
    <t>José Andrés Romero Tarazona.</t>
  </si>
  <si>
    <r>
      <t xml:space="preserve">Artículo 1°. Valor de la Unidad de Valor Tributario (UVT). </t>
    </r>
    <r>
      <rPr>
        <b/>
        <sz val="11"/>
        <color rgb="FFFF0000"/>
        <rFont val="Arial"/>
        <family val="2"/>
      </rPr>
      <t>Fijar en treinta y cinco mil seiscientos siete pesos ($35.607)</t>
    </r>
    <r>
      <rPr>
        <sz val="11"/>
        <color theme="1"/>
        <rFont val="Arial"/>
        <family val="2"/>
      </rPr>
      <t xml:space="preserve"> el valor de la Unidad de Valor Tributario (UVT), que regirá durante el </t>
    </r>
    <r>
      <rPr>
        <b/>
        <sz val="11"/>
        <color theme="1"/>
        <rFont val="Arial"/>
        <family val="2"/>
      </rPr>
      <t>año 2020</t>
    </r>
  </si>
  <si>
    <t>Valor en $                       Año   2.020</t>
  </si>
  <si>
    <r>
      <rPr>
        <b/>
        <sz val="11"/>
        <color theme="1"/>
        <rFont val="Arial"/>
        <family val="2"/>
      </rPr>
      <t>Resolución 000084 del 28 de noviembrer de 2019</t>
    </r>
    <r>
      <rPr>
        <sz val="11"/>
        <color theme="1"/>
        <rFont val="Arial"/>
        <family val="2"/>
      </rPr>
      <t>.- Que según Certificación número 120326 del 7 de octubre de 2019, expedida por el Coordinador GIT Información y Servicio al ciudadano de la Dirección de Difusión, Mercadeo y Cultura Estadística del Departamento Administrativo Nacional de Estadística (DANE),</t>
    </r>
    <r>
      <rPr>
        <b/>
        <sz val="11"/>
        <color rgb="FFFF0000"/>
        <rFont val="Arial"/>
        <family val="2"/>
      </rPr>
      <t xml:space="preserve"> la variación acumulada del índice de precios al consumidor para “clase media” en el periodo comprendido entre el 1º de octubre de 2018 y el 1º de octubre de 2019, fue de 3,90%</t>
    </r>
  </si>
  <si>
    <t>(Ingreso laboral gravado expresado en UVT menos 95 UVT)*19%</t>
  </si>
  <si>
    <t>(Ingreso laboral gravado expresado en UVT menos 150 UVT)*28% mas 10 UVT</t>
  </si>
  <si>
    <t>(Ingreso laboral gravado expresado en UVT menos 360 UVT)*33% mas 69 UVT</t>
  </si>
  <si>
    <t>(Ingreso laboral gravado expresado en UVT menos 640 UVT)*35% mas 162 UVT</t>
  </si>
  <si>
    <t>(Ingreso laboral gravado expresado en UVT menos 945 UVT)*37% mas 268 UVT</t>
  </si>
  <si>
    <t>(Ingreso laboral gravado expresado en UVT menos 2,300 UVT)*39% mas 770 UVT</t>
  </si>
  <si>
    <r>
      <rPr>
        <b/>
        <sz val="10"/>
        <color theme="1"/>
        <rFont val="Arial"/>
        <family val="2"/>
      </rPr>
      <t>Ley 1819 de 2016 Artículo 14.- Modifica Artículo 56 E.T</t>
    </r>
    <r>
      <rPr>
        <sz val="10"/>
        <color theme="1"/>
        <rFont val="Arial"/>
        <family val="2"/>
      </rPr>
      <t xml:space="preserve">., Aportes obligatorios al Sistema General de Salud. </t>
    </r>
    <r>
      <rPr>
        <b/>
        <sz val="10"/>
        <color rgb="FF3149F7"/>
        <rFont val="Arial"/>
        <family val="2"/>
      </rPr>
      <t>Los aportes obligatorios que efectúen los trabajadores, empleadores y afiliados al Sistema General de</t>
    </r>
    <r>
      <rPr>
        <b/>
        <sz val="10"/>
        <color theme="5" tint="-0.249977111117893"/>
        <rFont val="Arial"/>
        <family val="2"/>
      </rPr>
      <t xml:space="preserve"> </t>
    </r>
    <r>
      <rPr>
        <b/>
        <u/>
        <sz val="10"/>
        <color theme="5" tint="-0.249977111117893"/>
        <rFont val="Arial"/>
        <family val="2"/>
      </rPr>
      <t>Seguridad Social en Salud</t>
    </r>
    <r>
      <rPr>
        <b/>
        <u/>
        <sz val="10"/>
        <color rgb="FF3149F7"/>
        <rFont val="Arial"/>
        <family val="2"/>
      </rPr>
      <t xml:space="preserve"> no harán parte de la base para aplicar la retención en la fuente por salarios,</t>
    </r>
    <r>
      <rPr>
        <b/>
        <sz val="10"/>
        <color rgb="FF3149F7"/>
        <rFont val="Arial"/>
        <family val="2"/>
      </rPr>
      <t xml:space="preserve"> y serán considerados como un ingreso no constitutivo de renta ni de ganancia ocasional</t>
    </r>
    <r>
      <rPr>
        <sz val="10"/>
        <color theme="1"/>
        <rFont val="Arial"/>
        <family val="2"/>
      </rPr>
      <t>.</t>
    </r>
  </si>
  <si>
    <t>Salario mínimo</t>
  </si>
  <si>
    <t>Año</t>
  </si>
  <si>
    <t>% Aumento</t>
  </si>
  <si>
    <t>Aux Transp</t>
  </si>
  <si>
    <t xml:space="preserve">HISTORICO  SALARIO MINIMO -  AUXILIO DE TRANSPORTE  -  INFLACION </t>
  </si>
  <si>
    <t>Conceptos de retención</t>
  </si>
  <si>
    <t>Base mínima en UVT</t>
  </si>
  <si>
    <t>Base mínima en pesos</t>
  </si>
  <si>
    <t>Compras generales (declarantes)</t>
  </si>
  <si>
    <t>Compras generales (no declarantes)</t>
  </si>
  <si>
    <t>Compras con tarjeta débito o crédito</t>
  </si>
  <si>
    <t>Compras de bienes o productos agrícolas o pecuarios sin procesamiento industrial</t>
  </si>
  <si>
    <t>Compras de bienes o productos agrícolas o pecuarios con procesamiento industrial (declarantes)</t>
  </si>
  <si>
    <t>Compras de bienes o productos agrícolas o pecuarios con procesamiento industrial declarantes (no declarantes)</t>
  </si>
  <si>
    <t>Compras de café pergamino o cereza</t>
  </si>
  <si>
    <t>Compras de combustibles derivados del petróleo</t>
  </si>
  <si>
    <t>Enajenación de activos fijos de personas naturales (notarías y tránsito son agentes retenedores)</t>
  </si>
  <si>
    <t>Compras de vehículos</t>
  </si>
  <si>
    <t>Compras  de bienes raíces cuya destinación y uso sea distinto a vivienda de habitación</t>
  </si>
  <si>
    <t>Servicios generales (declarantes)</t>
  </si>
  <si>
    <t>Servicios generales (no declarantes)</t>
  </si>
  <si>
    <t>Por emolumentos eclesiásticos (declarantes)</t>
  </si>
  <si>
    <t>Por emolumentos eclesiásticos (no declarantes)</t>
  </si>
  <si>
    <t>Servicios de transporte de carga</t>
  </si>
  <si>
    <t>Servicios de  transporte nacional de pasajeros por vía terrestre (declarantes)</t>
  </si>
  <si>
    <t>Servicios de  transporte nacional de pasajeros por vía terrestre (no declarantes)</t>
  </si>
  <si>
    <t>Servicios de  transporte nacional de pasajeros por vía aérea o marítima</t>
  </si>
  <si>
    <t>Servicios prestados por empresas de servicios temporales (sobre AIU)</t>
  </si>
  <si>
    <t>Servicios prestados por empresas de vigilancia y aseo (sobre AIU)</t>
  </si>
  <si>
    <t>Servicios integrales de salud prestados por IPS</t>
  </si>
  <si>
    <t>Servicios de hoteles y restaurantes (declarantes)</t>
  </si>
  <si>
    <t>Servicios de hoteles y restaurantes (no declarantes)</t>
  </si>
  <si>
    <t>Arrendamiento de bienes muebles</t>
  </si>
  <si>
    <t>Arrendamiento de bienes inmuebles (declarantes)</t>
  </si>
  <si>
    <t>Arrendamiento de bienes inmuebles (no declarantes)</t>
  </si>
  <si>
    <t>Otros ingresos tributarios (declarantes)</t>
  </si>
  <si>
    <t>Otros ingresos tributarios (no declarantes)</t>
  </si>
  <si>
    <t>Honorarios y comisiones (personas jurídicas)</t>
  </si>
  <si>
    <t>Honorarios y comisiones (no declarantes)</t>
  </si>
  <si>
    <t>Servicios de licenciamiento o derecho de uso de software</t>
  </si>
  <si>
    <t>Intereses o rendimientos financieros</t>
  </si>
  <si>
    <t>Rendimientos financieros provenientes de títulos de renta fija</t>
  </si>
  <si>
    <t>Loterías, rifas, apuestas y similares</t>
  </si>
  <si>
    <t>Retención en colocación independiente de juegos de suerte y azar</t>
  </si>
  <si>
    <t>Contratos de construcción  y urbanización</t>
  </si>
  <si>
    <t>RETENCIÓN POR PAGOS AL EXTERIOR *</t>
  </si>
  <si>
    <t>Pagos o abonos en cuenta por concepto de consultorías, servicios técnicos y de asistencia técnica, prestados por personas no residentes o no domiciliadas en Colombia,</t>
  </si>
  <si>
    <t>Pagos o abonos en cuenta, originados en contratos de leasing sobre naves, helicópteros y/o aerodinos, así como sus partes que se celebren directamente o a través de compañías de leasing, con empresas extranjeras sin domicilio en Colombia,</t>
  </si>
  <si>
    <t>Pagos o abonos en cuenta por concepto de prima cedida por reaseguros realizados a personas no residentes o no domiciliadas en el país.</t>
  </si>
  <si>
    <t>Pagos o abono en cuenta por concepto de administración o dirección de que trata el artículo 124 del estatuto tributario, realizados a personas no residentes o no domiciliadas en el país.</t>
  </si>
  <si>
    <r>
      <t xml:space="preserve">Que el jefe de la Coordinación de Estudios Económicos de la Subdirección de Gestión de Análisis Operacional, mediante oficio número 100219326-01284 del 23 de octubre de 2019, certificó el valor actualizado de la Unidad de Valor Tributario (UVT) en treinta y cinco mil seiscientos siete pesos </t>
    </r>
    <r>
      <rPr>
        <sz val="11"/>
        <color rgb="FFFF0000"/>
        <rFont val="Arial"/>
        <family val="2"/>
      </rPr>
      <t>($35.607)</t>
    </r>
  </si>
  <si>
    <t>UVT</t>
  </si>
  <si>
    <t>Inflación</t>
  </si>
  <si>
    <t>Mayor de 1090</t>
  </si>
  <si>
    <r>
      <t xml:space="preserve">Artículo 26 de la Ley 1943 de 2018.- Modif Artículo 241E.T; </t>
    </r>
    <r>
      <rPr>
        <b/>
        <sz val="11"/>
        <color theme="1"/>
        <rFont val="Arial"/>
        <family val="2"/>
      </rPr>
      <t xml:space="preserve"> Tarifa para las personas naturales residentes y asignaciones y donaciones modales</t>
    </r>
    <r>
      <rPr>
        <sz val="11"/>
        <color theme="1"/>
        <rFont val="Arial"/>
        <family val="2"/>
      </rPr>
      <t>. El impuesto sobre la renta de las personas naturales residentes en el país, de las sucesiones de causantes residentes en el país, y de los bienes destinados a fines especiales, en virtud de donaciones o asignaciones modales, se determinará de acuerdo con la siguiente tabla:</t>
    </r>
  </si>
  <si>
    <t>Dividendos y participaciones 2016 y anteriores</t>
  </si>
  <si>
    <r>
      <t xml:space="preserve">(Renta Gravable o Ganancia Ocasional Gravable Expresada en UVT  menos 1.700 UVT) * 28% mas </t>
    </r>
    <r>
      <rPr>
        <b/>
        <sz val="11"/>
        <color rgb="FF0066FF"/>
        <rFont val="Arial"/>
        <family val="2"/>
      </rPr>
      <t>116 UVT</t>
    </r>
    <r>
      <rPr>
        <sz val="11"/>
        <color indexed="8"/>
        <rFont val="Arial"/>
        <family val="2"/>
      </rPr>
      <t>.</t>
    </r>
  </si>
  <si>
    <r>
      <t xml:space="preserve">(Renta Gravable o Ganancia Ocasional Gravable Expresada en UVT  menos 4.100 UVT) * 33% mas </t>
    </r>
    <r>
      <rPr>
        <b/>
        <sz val="11"/>
        <color rgb="FF0066FF"/>
        <rFont val="Arial"/>
        <family val="2"/>
      </rPr>
      <t>788 UVT</t>
    </r>
    <r>
      <rPr>
        <b/>
        <sz val="11"/>
        <color indexed="8"/>
        <rFont val="Arial"/>
        <family val="2"/>
      </rPr>
      <t>.</t>
    </r>
  </si>
  <si>
    <r>
      <t xml:space="preserve">(Renta Gravable o Ganancia Ocasional Gravable Expresada en UVT  menos 8.670 UVT) * 35% mas </t>
    </r>
    <r>
      <rPr>
        <b/>
        <sz val="11"/>
        <color rgb="FF0066FF"/>
        <rFont val="Arial"/>
        <family val="2"/>
      </rPr>
      <t>2.296 UVT.</t>
    </r>
  </si>
  <si>
    <r>
      <t xml:space="preserve">(Renta Gravable o Ganancia Ocasional Gravable Expresada en UVT  menos 18.970 UVT) * 37% mas </t>
    </r>
    <r>
      <rPr>
        <b/>
        <sz val="11"/>
        <color rgb="FF0066FF"/>
        <rFont val="Arial"/>
        <family val="2"/>
      </rPr>
      <t>5.901 UVT.</t>
    </r>
  </si>
  <si>
    <r>
      <t xml:space="preserve">(Renta Gravable o Ganancia Ocasional Gravable Expresada en UVT  menos 31.000 UVT) * 39% mas </t>
    </r>
    <r>
      <rPr>
        <b/>
        <sz val="11"/>
        <color rgb="FF0066FF"/>
        <rFont val="Arial"/>
        <family val="2"/>
      </rPr>
      <t>10.352 UVT.</t>
    </r>
  </si>
  <si>
    <t>Dividendos y participaciones 2017 y siguientes</t>
  </si>
  <si>
    <t>RESPONSABLES DE IVA</t>
  </si>
  <si>
    <t>Artículo 437. LOS COMERCIANTES Y QUIENES REALICEN ACTOS SIMILARES A LOS DE ELLOS Y LOS IMPORTADORES SON SUJETOS PASIVOS. Son responsables del impuesto:  (IVA)</t>
  </si>
  <si>
    <t>PARÁGRAFO 3. Deberán registrarse como responsables del IVA quienes realicen actividades gravadas con el impuesto.</t>
  </si>
  <si>
    <t>a) En las ventas los comerciantes; b) Venta de aerodinos; c) Prestación de servicios territorio nacional; d) los importadores…"</t>
  </si>
  <si>
    <r>
      <t xml:space="preserve">Las </t>
    </r>
    <r>
      <rPr>
        <b/>
        <sz val="11"/>
        <color rgb="FFFF0000"/>
        <rFont val="Arial"/>
        <family val="2"/>
      </rPr>
      <t>personas naturales, nacionales o extranjeras, que no tengan residencia en el país</t>
    </r>
    <r>
      <rPr>
        <sz val="11"/>
        <color theme="1"/>
        <rFont val="Arial"/>
        <family val="2"/>
      </rPr>
      <t xml:space="preserve"> y las sucesiones ilíquidas de causantes sin residencia en el país en el momento de su muerte, </t>
    </r>
    <r>
      <rPr>
        <b/>
        <sz val="11"/>
        <color rgb="FF0066FF"/>
        <rFont val="Arial"/>
        <family val="2"/>
      </rPr>
      <t>sólo están sujetas al impuesto sobre la renta y complementarios respecto a sus rentas y ganancias ocasionales de fuente nacional y respecto de su patrimonio poseído en el país.</t>
    </r>
    <r>
      <rPr>
        <sz val="11"/>
        <color theme="1"/>
        <rFont val="Arial"/>
        <family val="2"/>
      </rPr>
      <t xml:space="preserve"> {Nota: Ver Circular Externa 26 de 2011. Ver Circular Externa No. 20 de 2010 de la DIAN.}</t>
    </r>
  </si>
  <si>
    <r>
      <t>Artículo 12.</t>
    </r>
    <r>
      <rPr>
        <b/>
        <sz val="11"/>
        <color rgb="FFFF0000"/>
        <rFont val="Arial"/>
        <family val="2"/>
      </rPr>
      <t xml:space="preserve"> SOCIEDADES Y ENTIDADES SOMETIDAS AL IMPUESTO</t>
    </r>
    <r>
      <rPr>
        <sz val="11"/>
        <color theme="1"/>
        <rFont val="Arial"/>
        <family val="2"/>
      </rPr>
      <t xml:space="preserve">. Las sociedades y entidades </t>
    </r>
    <r>
      <rPr>
        <b/>
        <sz val="11"/>
        <color rgb="FFFF0000"/>
        <rFont val="Arial"/>
        <family val="2"/>
      </rPr>
      <t>nacionale</t>
    </r>
    <r>
      <rPr>
        <sz val="11"/>
        <color theme="1"/>
        <rFont val="Arial"/>
        <family val="2"/>
      </rPr>
      <t>s s</t>
    </r>
    <r>
      <rPr>
        <b/>
        <sz val="11"/>
        <color rgb="FF0066FF"/>
        <rFont val="Arial"/>
        <family val="2"/>
      </rPr>
      <t>on gravadas, tanto sobre sus rentas y ganancias ocasionales de fuente nacional como sobre las que se originen de fuentes fuera de Colombia.</t>
    </r>
  </si>
  <si>
    <r>
      <rPr>
        <b/>
        <sz val="11"/>
        <color rgb="FFFF0000"/>
        <rFont val="Arial"/>
        <family val="2"/>
      </rPr>
      <t>Las sociedades y entidades extranjeras</t>
    </r>
    <r>
      <rPr>
        <sz val="11"/>
        <color theme="1"/>
        <rFont val="Arial"/>
        <family val="2"/>
      </rPr>
      <t xml:space="preserve"> son gravadas </t>
    </r>
    <r>
      <rPr>
        <b/>
        <sz val="11"/>
        <color rgb="FF0066FF"/>
        <rFont val="Arial"/>
        <family val="2"/>
      </rPr>
      <t>únicamente sobre sus rentas y ganancias ocasionales de fuente nacional.</t>
    </r>
  </si>
  <si>
    <r>
      <rPr>
        <b/>
        <sz val="11"/>
        <color theme="1"/>
        <rFont val="Arial"/>
        <family val="2"/>
      </rPr>
      <t>Parágrafo</t>
    </r>
    <r>
      <rPr>
        <sz val="11"/>
        <color theme="1"/>
        <rFont val="Arial"/>
        <family val="2"/>
      </rPr>
      <t>. Son contribuyentes del impuesto sobre la renta y complementario las cajas de compensación respecto a los ingresos generados en actividades industriales, comerciales yen actividades financieras distintas a la inversión de su patrimonio, diferentes a las relacionadas con las actividades meritorias previstas en el artículo 359 del Estatuto Tributario".</t>
    </r>
  </si>
  <si>
    <r>
      <rPr>
        <b/>
        <sz val="11"/>
        <color rgb="FFFF0000"/>
        <rFont val="Arial"/>
        <family val="2"/>
      </rPr>
      <t>Artículo 7º. LAS PERSONAS NATURALES ESTÁN SOMETIDAS AL IMPUESTO</t>
    </r>
    <r>
      <rPr>
        <sz val="11"/>
        <color theme="1"/>
        <rFont val="Arial"/>
        <family val="2"/>
      </rPr>
      <t>. Las personas naturales y las sucesiones ilíquidas están sometidas al impuesto sobre la renta y complementarios.</t>
    </r>
  </si>
  <si>
    <r>
      <rPr>
        <b/>
        <sz val="11"/>
        <color rgb="FFFF0000"/>
        <rFont val="Arial"/>
        <family val="2"/>
      </rPr>
      <t>Artículo 8º. LOS CÓNYUGES SE GRAVAN EN FORMA INDIVIDUAL</t>
    </r>
    <r>
      <rPr>
        <sz val="11"/>
        <color theme="1"/>
        <rFont val="Arial"/>
        <family val="2"/>
      </rPr>
      <t>. Los cónyuges, individualmente considerados, son sujetos gravables en cuanto a sus correspondientes bienes y rentas.</t>
    </r>
  </si>
  <si>
    <r>
      <rPr>
        <b/>
        <sz val="11"/>
        <color rgb="FFFF0000"/>
        <rFont val="Arial"/>
        <family val="2"/>
      </rPr>
      <t>Artículo 9º. IMPUESTO DE LAS PERSONAS NATURALES, RESIDENTES Y NO RESIDENTES</t>
    </r>
    <r>
      <rPr>
        <sz val="11"/>
        <color theme="1"/>
        <rFont val="Arial"/>
        <family val="2"/>
      </rPr>
      <t xml:space="preserve">. Las personas </t>
    </r>
    <r>
      <rPr>
        <b/>
        <sz val="11"/>
        <color rgb="FFFF0000"/>
        <rFont val="Arial"/>
        <family val="2"/>
      </rPr>
      <t>naturales, nacionales o extranjeras, residentes en el país</t>
    </r>
    <r>
      <rPr>
        <sz val="11"/>
        <color theme="1"/>
        <rFont val="Arial"/>
        <family val="2"/>
      </rPr>
      <t xml:space="preserve"> y las sucesiones ilíquidas de causantes con residencia en el país en el momento de su muerte, </t>
    </r>
    <r>
      <rPr>
        <b/>
        <sz val="11"/>
        <color rgb="FF0066FF"/>
        <rFont val="Arial"/>
        <family val="2"/>
      </rPr>
      <t>están sujetas al impuesto sobre la renta y complementarios en lo concerniente a sus rentas y ganancias ocasionales, tanto de fuente nacional como de fuente extranjera, y a su patrimonio poseído dentro y fuera del país.</t>
    </r>
  </si>
  <si>
    <t>Primera Cuota</t>
  </si>
  <si>
    <t>Declara Paga 2 Cuota</t>
  </si>
  <si>
    <t>Personas jurídicas y demás contribuyentes. Declaración de renta y complementario</t>
  </si>
  <si>
    <t xml:space="preserve">Grandes Contribuyentes </t>
  </si>
  <si>
    <t>Pago Tercera Cuota</t>
  </si>
  <si>
    <t>Pago 2 cuota</t>
  </si>
  <si>
    <t>51 a 55</t>
  </si>
  <si>
    <t>56 a 60</t>
  </si>
  <si>
    <t>61 a 65</t>
  </si>
  <si>
    <t>66 a 70</t>
  </si>
  <si>
    <t>71 a 75</t>
  </si>
  <si>
    <t>76 a 80</t>
  </si>
  <si>
    <t>81 a 85</t>
  </si>
  <si>
    <t>86 a 90</t>
  </si>
  <si>
    <t>91 a 95</t>
  </si>
  <si>
    <t>96 a 00</t>
  </si>
  <si>
    <t>01 a 05</t>
  </si>
  <si>
    <t>06 a 10</t>
  </si>
  <si>
    <t>11 a 15</t>
  </si>
  <si>
    <t>16 a 20</t>
  </si>
  <si>
    <t>21 a 25</t>
  </si>
  <si>
    <t>26 a 30</t>
  </si>
  <si>
    <t>31 a 35</t>
  </si>
  <si>
    <t>36 a 40</t>
  </si>
  <si>
    <t>41 a 45</t>
  </si>
  <si>
    <t>46 a 50</t>
  </si>
  <si>
    <r>
      <t xml:space="preserve">REGIMEN  GENERAL O REGIMEN ORDINARIO DEL IMPUESTO DE RENTA.- </t>
    </r>
    <r>
      <rPr>
        <sz val="11"/>
        <color theme="1"/>
        <rFont val="Arial"/>
        <family val="2"/>
      </rPr>
      <t>Es el que se le aplica a todas las personas o entidades; contribuyentes o no contribuyentes; declarantes o no declarantes; naturales o juridicas; que realizan el hecho generador del del impuesto de Renta, que  y no están incluidos en un régimen separado repecto a los ingresos costos y deducciones del Libro primero del E.T.</t>
    </r>
  </si>
  <si>
    <t>Presentación y Pago Primera Cuota</t>
  </si>
  <si>
    <t>Declaración de renta y complementario de Personas naturales y las sucesiones ilíquidas.</t>
  </si>
  <si>
    <t>99 y 00</t>
  </si>
  <si>
    <t>95 y 96</t>
  </si>
  <si>
    <t>73 y 74</t>
  </si>
  <si>
    <t>75 y 76</t>
  </si>
  <si>
    <t>77 y 78</t>
  </si>
  <si>
    <t>79 y 80</t>
  </si>
  <si>
    <t>81 y 82</t>
  </si>
  <si>
    <t>83 y 84</t>
  </si>
  <si>
    <t>85 y 86</t>
  </si>
  <si>
    <t>87 y 88</t>
  </si>
  <si>
    <t>89 y 90</t>
  </si>
  <si>
    <t>91 y 92</t>
  </si>
  <si>
    <t>97 y 98</t>
  </si>
  <si>
    <t>93 y 94</t>
  </si>
  <si>
    <t>71 y 72</t>
  </si>
  <si>
    <t>69 y 70</t>
  </si>
  <si>
    <t>67 y 68</t>
  </si>
  <si>
    <t>01 y 02</t>
  </si>
  <si>
    <t>03 y 04</t>
  </si>
  <si>
    <t>05 y 06</t>
  </si>
  <si>
    <t>07 y 08</t>
  </si>
  <si>
    <t>09 y 10</t>
  </si>
  <si>
    <t>11 y 12</t>
  </si>
  <si>
    <t>13 y 14</t>
  </si>
  <si>
    <t>15 y 16</t>
  </si>
  <si>
    <t>17 y 18</t>
  </si>
  <si>
    <t>19 y 20</t>
  </si>
  <si>
    <t>21 y 22</t>
  </si>
  <si>
    <t>23 y 24</t>
  </si>
  <si>
    <t>25 y 26</t>
  </si>
  <si>
    <t>27 y 28</t>
  </si>
  <si>
    <t>31 y 32</t>
  </si>
  <si>
    <t>33 y 34</t>
  </si>
  <si>
    <t>35 y 36</t>
  </si>
  <si>
    <t>37 y 38</t>
  </si>
  <si>
    <t>39 y 40</t>
  </si>
  <si>
    <t>41 y 42</t>
  </si>
  <si>
    <t>43 y 44</t>
  </si>
  <si>
    <t>45 y 46</t>
  </si>
  <si>
    <t xml:space="preserve">47 y 48 </t>
  </si>
  <si>
    <t>49 y 50</t>
  </si>
  <si>
    <t>51 y 52</t>
  </si>
  <si>
    <t>53 y 54</t>
  </si>
  <si>
    <t>55 y 56</t>
  </si>
  <si>
    <t>57 y 58</t>
  </si>
  <si>
    <t>59 y 60</t>
  </si>
  <si>
    <t>61 y 62</t>
  </si>
  <si>
    <t>63 y 64</t>
  </si>
  <si>
    <t>65 y 66</t>
  </si>
  <si>
    <t>REGIMEN  TRIBUTARIO  ESPECIAL</t>
  </si>
  <si>
    <t>Plazo: El mismo de Grandes Contribuyentes y Personas jurídicas - Depende</t>
  </si>
  <si>
    <t>100.000 uvt   =</t>
  </si>
  <si>
    <t>FIRMA DE CONTADOR PUBLICO O REVISOR FISCAL</t>
  </si>
  <si>
    <t>Activos Brutos Totales</t>
  </si>
  <si>
    <t>Ingresos  Brutos Totales</t>
  </si>
  <si>
    <t>6. La firma del Revisor Fiscal cuando se trate de contribuyentes obligados a llevar libros de contabilidad y que de conformidad con el Código de Comercio y demás normas vigentes sobre la materia, estén obligados a tener Revisor Fiscal.</t>
  </si>
  <si>
    <r>
      <t xml:space="preserve">Los demás contribuyentes y entidades obligadas a llevar libros de contabilidad, deberán presentar la </t>
    </r>
    <r>
      <rPr>
        <b/>
        <sz val="11"/>
        <color rgb="FF0066FF"/>
        <rFont val="Calibri"/>
        <family val="2"/>
        <scheme val="minor"/>
      </rPr>
      <t>declaración de renta y complementarios o de ingresos y patrimonio</t>
    </r>
    <r>
      <rPr>
        <sz val="11"/>
        <color theme="1"/>
        <rFont val="Calibri"/>
        <family val="2"/>
        <scheme val="minor"/>
      </rPr>
      <t>, según sea el caso,</t>
    </r>
    <r>
      <rPr>
        <b/>
        <sz val="11"/>
        <color rgb="FFFF0000"/>
        <rFont val="Calibri"/>
        <family val="2"/>
        <scheme val="minor"/>
      </rPr>
      <t xml:space="preserve"> firmada por contador público</t>
    </r>
    <r>
      <rPr>
        <sz val="11"/>
        <color theme="1"/>
        <rFont val="Calibri"/>
        <family val="2"/>
        <scheme val="minor"/>
      </rPr>
      <t xml:space="preserve">, vinculado o no laboralmente a la empresa o entidad , cuando </t>
    </r>
    <r>
      <rPr>
        <b/>
        <sz val="11"/>
        <color rgb="FF0066FF"/>
        <rFont val="Calibri"/>
        <family val="2"/>
        <scheme val="minor"/>
      </rPr>
      <t>el patrimonio bruto en el último día del año o período gravable, o los ingresos brutos del respectivo año</t>
    </r>
    <r>
      <rPr>
        <sz val="11"/>
        <color theme="1"/>
        <rFont val="Calibri"/>
        <family val="2"/>
        <scheme val="minor"/>
      </rPr>
      <t>, sean</t>
    </r>
    <r>
      <rPr>
        <b/>
        <sz val="11"/>
        <color rgb="FFFF0000"/>
        <rFont val="Calibri"/>
        <family val="2"/>
        <scheme val="minor"/>
      </rPr>
      <t xml:space="preserve"> superiores a 100.000 UVT</t>
    </r>
  </si>
  <si>
    <t>FIRMA  DE LA DECLARACION DE RENTA</t>
  </si>
  <si>
    <t>DECLARACIONES  DE IVA  - BIMESTRE Y CUATRIMESTRE</t>
  </si>
  <si>
    <t xml:space="preserve">BIMESTRE: </t>
  </si>
  <si>
    <t>Igual o mas:</t>
  </si>
  <si>
    <t xml:space="preserve">92.000 UVT </t>
  </si>
  <si>
    <t xml:space="preserve">CUATRIMESTRE: </t>
  </si>
  <si>
    <t>Menos de 92.000 UVT</t>
  </si>
  <si>
    <t>Declaración y pago bimestral del impuesto nacional al consumo. Los responsables del impuesto nacional al consumo de que trata el artículo 512-1 y siguientes del Estatuto Tributario, deberán presentar y pagar la declaración del impuesto nacional al consumo de manera bimestral, utilizando el formulario prescrito por la Unidad Administrativa Especial Dirección de Impuestos y Aduanas Nacionales -DIAN.</t>
  </si>
  <si>
    <t>DECLARACIONES  DE IMPUESTO  AL  CONSUMO</t>
  </si>
  <si>
    <t>DECLARACION  DE  INGRESOS  Y  PATRIMONIO</t>
  </si>
  <si>
    <t>"Artículo 1.6.1.13.2.9. Entidades no contribuyentes del impuesto sobre la renta y complementario con obligación de presentar declaración de ingresos y patrimonio</t>
  </si>
  <si>
    <t>De conformidad con lo dispuesto en los artículos 19-2, 23, 23-1 Y 23-2 del Estatuto Tributario, las entidades que se enumeran a continuación deberán presentar declaración de ingresos y patrimonio:</t>
  </si>
  <si>
    <t xml:space="preserve">1. Las entidades de derecho público no contribuyentescon excepción de las que se señalan en el artículo siguiente. </t>
  </si>
  <si>
    <t>3. Los fondos de capital privado y los fondos de inversión colectiva, autorizados por una entidad autorizada para tal efecto</t>
  </si>
  <si>
    <t>4. Los fondos de pensiones de jubilación e invalidez y fondos de cesantías.</t>
  </si>
  <si>
    <t>5. Los fondos parafiscales agropecuarios y pesqueros de que trata el Capítulo V de la Ley 101 de 1993 y el Fondo de Promoción Turística de que trata la Ley 300 de 1996, hoy Fondo Nacional de Turismo (FONTUR).</t>
  </si>
  <si>
    <t>6. Las cajas de compensación familiar cuando no obtengan ingresos generados en actividades industriales, comerciales y en actividadesfinancieras distintas a la inversión de su patrimonio, diferentes a las
relacionadas con las actividades meritorias previstas en el artículo 359 del  E.T.</t>
  </si>
  <si>
    <t>7. Las demás entidades no contribuyentes del impuesto sobre la renta, con excepción de las indicadas en el artículo siguiente</t>
  </si>
  <si>
    <t>2. Los sindicatos, las asociaciones gremiales, los fondos de empleados, los fondos mutuos de inversión, las iglesias y confesiones religiosas reconocidas por el Ministerio' del Interior o por la ley, los partidos o movimientos políticos aprobados por el Consejo Nacional Electoral; las asociaciones y federaciones de Departamentos y de Municipios, las sociedades o entidades de alcohólicos anónimos, los establecimientos públicos y en general cualquier establecimiento oficial descentralizado, siempre y cuando no se señale en la ley de otra manera</t>
  </si>
  <si>
    <r>
      <rPr>
        <b/>
        <sz val="11"/>
        <color rgb="FF0066FF"/>
        <rFont val="Arial"/>
        <family val="2"/>
      </rPr>
      <t>Ley 43 de 1990, Art 13.- Parágrafo 2o</t>
    </r>
    <r>
      <rPr>
        <sz val="11"/>
        <color theme="1"/>
        <rFont val="Arial"/>
        <family val="2"/>
      </rPr>
      <t>. Será obligatorio tener  revisor  fiscal en todas </t>
    </r>
    <r>
      <rPr>
        <b/>
        <sz val="11"/>
        <color rgb="FFFF0000"/>
        <rFont val="Arial"/>
        <family val="2"/>
      </rPr>
      <t xml:space="preserve"> las sociedades comerciales, de cualquier naturaleza</t>
    </r>
    <r>
      <rPr>
        <sz val="11"/>
        <color theme="1"/>
        <rFont val="Arial"/>
        <family val="2"/>
      </rPr>
      <t>,</t>
    </r>
    <r>
      <rPr>
        <b/>
        <sz val="11"/>
        <color rgb="FF0066FF"/>
        <rFont val="Arial"/>
        <family val="2"/>
      </rPr>
      <t xml:space="preserve"> cuyos activos brutos al 31 de diciembre del año </t>
    </r>
    <r>
      <rPr>
        <b/>
        <sz val="11"/>
        <color theme="9" tint="-0.499984740745262"/>
        <rFont val="Arial"/>
        <family val="2"/>
      </rPr>
      <t>inmediatamente anterior</t>
    </r>
    <r>
      <rPr>
        <sz val="11"/>
        <color theme="1"/>
        <rFont val="Arial"/>
        <family val="2"/>
      </rPr>
      <t xml:space="preserve">  sean o excedan el equivalente de </t>
    </r>
    <r>
      <rPr>
        <b/>
        <sz val="11"/>
        <color rgb="FFFF0000"/>
        <rFont val="Arial"/>
        <family val="2"/>
      </rPr>
      <t>cinco mi</t>
    </r>
    <r>
      <rPr>
        <sz val="11"/>
        <color theme="1"/>
        <rFont val="Arial"/>
        <family val="2"/>
      </rPr>
      <t>l</t>
    </r>
    <r>
      <rPr>
        <b/>
        <sz val="11"/>
        <color rgb="FFFF0000"/>
        <rFont val="Arial"/>
        <family val="2"/>
      </rPr>
      <t xml:space="preserve"> salarios mínimos</t>
    </r>
    <r>
      <rPr>
        <sz val="11"/>
        <color theme="1"/>
        <rFont val="Arial"/>
        <family val="2"/>
      </rPr>
      <t xml:space="preserve"> y/o cuyos </t>
    </r>
    <r>
      <rPr>
        <b/>
        <sz val="11"/>
        <color rgb="FF0066FF"/>
        <rFont val="Arial"/>
        <family val="2"/>
      </rPr>
      <t>ingresos brutos durante el año inmediatamente anterior</t>
    </r>
    <r>
      <rPr>
        <sz val="11"/>
        <color theme="1"/>
        <rFont val="Arial"/>
        <family val="2"/>
      </rPr>
      <t xml:space="preserve"> sean o excedan al equivalente a </t>
    </r>
    <r>
      <rPr>
        <b/>
        <sz val="11"/>
        <color rgb="FFFF0000"/>
        <rFont val="Arial"/>
        <family val="2"/>
      </rPr>
      <t>tres mil salarios mínimos</t>
    </r>
    <r>
      <rPr>
        <sz val="11"/>
        <color theme="1"/>
        <rFont val="Arial"/>
        <family val="2"/>
      </rPr>
      <t>.</t>
    </r>
  </si>
  <si>
    <t>NO CONTRIBUYENTES  NO RENTA NO ING Y PATRIMONIO</t>
  </si>
  <si>
    <t>"Artículo 1.6.1.13.2.10. Entidades no contríbuyentes del impuesto sobre la renta y complementario que no deben presentar declaración de renta ni de ingresos y patrimonío.</t>
  </si>
  <si>
    <t>a) La Nación, las entidades territoriales, las Corporaciones Autónomas Regionales y de Desarrollo Sostenible, las Áreas Metropolitanas, la Sociedad Nacional de la Cruz Roja Colombiana y su sistema federado, las Superintendencias y las Unidades Administrativas Especiales</t>
  </si>
  <si>
    <t>b) Las sociedades de mejoras públicas, las asociaciones de padres de familia; los organismos de acción comunal; las juntas de defensa civil; las juntas de copropietarios administradoras de edificios organizados en propiedad horizontal o de copropietarios de conjuntos residenciales; las asociaciones de exalumnos; las asociaciones de hogares comunitarios y hogares infantiles del Instituto Colombiano de Bienestar Familiar</t>
  </si>
  <si>
    <t>c) Los Resguardos y Cabildos Indígenas, ni la propiedad colectiva de las comunidades negras conforme con la Ley 70 de 1993</t>
  </si>
  <si>
    <t>Las entidades señaladas en los literales anteriores, están obligadas a presentar declaraciones de retención en la fuente e impuesto sobre las ventas -IVA, cuando a ello hubiere lugar</t>
  </si>
  <si>
    <t>DECLARACIONES  DE RETENCIONES  EN LA FUENTE</t>
  </si>
  <si>
    <t>PLAZOS PARA LA   ACTUALIZACIÓN Y  PRESENTACIÓN  DE  LA  MEMORIA  ECONÓMICA DEL REGIMEN TRIBUTARIO ESPECIAL</t>
  </si>
  <si>
    <t>Bimestre normal</t>
  </si>
  <si>
    <t>Meses normal</t>
  </si>
  <si>
    <t>IMPUESTO NACIONAL A LA GASOLINA Y AL ACPM</t>
  </si>
  <si>
    <t>"Artículo 1.6.1.13.2.37. Declaración mensual del impuesto nacional a la gasolina y al ACPM. Los responsables del impuesto nacional a la gasolina y al ACPM declararán y pagarán el impuesto correspondiente a los períodos gravables del año 20~O en las fechas de vencimiento siguientes:</t>
  </si>
  <si>
    <t>Todos  los meses</t>
  </si>
  <si>
    <t>IMPUESTO NACIONAL AL CARBONO</t>
  </si>
  <si>
    <t xml:space="preserve">Artículo 1.6.1.13.2.38. Plazos para declarar y pagar el impuesto nacional al carbono. Los responsables del impuesto nacional al carbono de que trata elartículo 221 de la Ley 1819 de 2016, deberán declarar y pagar bimestralmente el impuesto correspondiente al año gravable 2020, en el formulario que
prescriba la Unidad Administrativa Especial Dirección de Impuestos y Aduanas
Nacionales -DIAN. </t>
  </si>
  <si>
    <t>Todos  los bimestres</t>
  </si>
  <si>
    <t>"Articulo 1.6.1.13.2.39. Plazos para declarar y pagar el gravamen a los movimientos financieros -GMF. La presentación y pago de la declaración del gravamen a los movimientos financieros -GIVIF, por parte de los responsables de este impuesto, se hará en forma semanal, teniendo en cuenta para tal efecto los plazos establecidos a continuación:</t>
  </si>
  <si>
    <t>PLAZOS PARA PRESENTAR Y PAGAR EL GRAVAMEN A LOS MOVIMIENTOS FINANCIEROS -GMF</t>
  </si>
  <si>
    <t>Todas las semanas</t>
  </si>
  <si>
    <t>PLAZOS PARA EXPEDIR CERTIFICADOS</t>
  </si>
  <si>
    <t>PLAZOS PARA DECLARAR Y PAGAR EL IMPUESTO UNIFICADO BAJO EL REGIMEN SIMPLE DE TRIBUTACION SIMPLE y PARA PRESENTAR LA DECLARACIÓN ANUAL CONSOLIDADA IMPUESTO SOBRE LAS VENTAS</t>
  </si>
  <si>
    <t>BENEFICIO  DE  AUDITORIA</t>
  </si>
  <si>
    <t>CIRCULAR EXTERNA SUPERINTENDENCIA DE SOCIEDADES</t>
  </si>
  <si>
    <t>95 a00</t>
  </si>
  <si>
    <t>Los plazos señalados en esta circular para el envío de la información son improrrogables</t>
  </si>
  <si>
    <t>Los estados financieros de fin de ejercicio se deben acompañar de los siguientes documentos.</t>
  </si>
  <si>
    <t>b) El informe de gestión que los administradores deben presentar a la asamblea o junta de socios para su aprobación o improbación, de conformidad con el artículo 46 de la Ley 222 de 1995</t>
  </si>
  <si>
    <t>c)  El dictamen de¡ revisor fiscal.</t>
  </si>
  <si>
    <t>d)  Las notas explicativas de los estados financieros deben contener las revelaciones de los estados de: (i) situación financiera, (ji) resultado integral del ejercicio, (iii) componentes de¡ otro resultado integral (ORI), (iv) cambios en el patrimonio y (y) flujo de efectivo, como parte integral de los mismos</t>
  </si>
  <si>
    <t>RESOLUCIÓN NÚMERO  00011  DEL 11 DE DICIEMBRE 2020</t>
  </si>
  <si>
    <t>Por la cual se fija el valor de la Unidad de Valor Tributario – UVT aplicable para el año 2021</t>
  </si>
  <si>
    <t>EL DIRECTOR GENERAL DE LA UNIDAD ADMINISTRATIVA ESPECIAL DIRECCIÓN DE IMPUESTOS Y ADUANAS NACIONALES -DIAN</t>
  </si>
  <si>
    <t>En uso de las facultades legales, en especial la consagrada en el artículo 868 del Estatuto Tributario, y</t>
  </si>
  <si>
    <t>CONSIDERANDO</t>
  </si>
  <si>
    <t>Que el Estatuto Tributario en su artículo 868 establece la Unidad de Valor Tributario UVT como la medida de valor que permite ajustar los valores contenidos en las disposiciones relativas a los impuestos y obligaciones administrados por la Unidad Administrativa Especial Dirección de Impuestos y Aduanas Nacionales –DIAN</t>
  </si>
  <si>
    <t>Que el reajuste se efectuará anualmente en la variación del índice de precios al consumidor para ingresos medios en el periodo comprendido entre el 1° de octubre del año anterior al gravable y la misma fecha del año inmediatamente anterior a este, certificada por el Departamento Administrativo Nacional de Estadística –DANE</t>
  </si>
  <si>
    <t>Que el Departamento Administrativo Nacional de Estadística - DANE reemplazó la categoría "Ingresos Medios" por el término “Clase Media”, debido la nueva metodología del índice de precios al consumidor -IPC que utilizó una clasificación por niveles de ingresos de acuerdo a los tamaños del mercado local. Al respecto, de acuerdo con lo manifestado por el Coordinador GIT Información y Servicio al ciudadano de la Dirección de Difusión, Mercadeo y Cultura Estadística del DANE, mediante comunicación número 20191510436711 del 21 de octubre de 2019, “la categoría de “Ingresos Medios” del IPC Base 2008 es equivalente y se corresponde con los “Ingresos Clase Media” de la nueva Base del IPC Diciembre de 2018=100</t>
  </si>
  <si>
    <t>Que el Jefe de la Coordinación de Estudios Económicos de la Subdirección de Gestión de Análisis Operacional, mediante oficio número 100219326-01329 del 18 de noviembre de 2020, certificó el valor actualizado de la Unidad de Valor Tributario – UVT para el año 2021, en treinta y seis mil trescientos ocho pesos ($36.308).</t>
  </si>
  <si>
    <t>Que por lo anterior, se hace necesario establecer mediante la presente Resolución, el valor de la Unidad de Valor Tributario – UVT, que regirá para el año 2021.</t>
  </si>
  <si>
    <t>Que el proyecto de resolución fue publicado en el sitio web de la Unidad Administrativa Especial Dirección de Impuestos y Aduanas Nacionales – DIAN, dando cumplimiento al artículo 8 de la Ley 1437 de 2011, en concordancia con lo previsto en el artículo 32 de la Resolución 204 de 2014, con el objeto de recibir comentarios sobre el contenido, previamente a su expedición.</t>
  </si>
  <si>
    <t>En mérito de lo expuesto,</t>
  </si>
  <si>
    <t>PUBLÍQUESE Y CÚMPLASE</t>
  </si>
  <si>
    <t>Dada en Bogotá, D.C., a los  11 DIC 2020 11 DIC 2020</t>
  </si>
  <si>
    <t>JOSÉ ANDRÉS ROMERO TARAZONA</t>
  </si>
  <si>
    <t>Director Genera</t>
  </si>
  <si>
    <r>
      <rPr>
        <b/>
        <sz val="12"/>
        <color theme="1"/>
        <rFont val="Arial"/>
        <family val="2"/>
      </rPr>
      <t>ARTÍCULO 1. Valor de la Unidad de Valor Tributario - UVT</t>
    </r>
    <r>
      <rPr>
        <sz val="12"/>
        <color theme="1"/>
        <rFont val="Arial"/>
        <family val="2"/>
      </rPr>
      <t xml:space="preserve">. Fijar en </t>
    </r>
    <r>
      <rPr>
        <b/>
        <sz val="12"/>
        <color rgb="FF0066FF"/>
        <rFont val="Arial"/>
        <family val="2"/>
      </rPr>
      <t>treinta y seis mil trescientos ocho</t>
    </r>
    <r>
      <rPr>
        <sz val="12"/>
        <color theme="1"/>
        <rFont val="Arial"/>
        <family val="2"/>
      </rPr>
      <t xml:space="preserve"> </t>
    </r>
    <r>
      <rPr>
        <b/>
        <sz val="12"/>
        <color rgb="FFFF0000"/>
        <rFont val="Arial"/>
        <family val="2"/>
      </rPr>
      <t>($36.308</t>
    </r>
    <r>
      <rPr>
        <sz val="12"/>
        <color theme="1"/>
        <rFont val="Arial"/>
        <family val="2"/>
      </rPr>
      <t>) pesos, el valor de la Unidad de Valor Tributario – UVT que regirá durante el año 2021.</t>
    </r>
  </si>
  <si>
    <r>
      <rPr>
        <b/>
        <sz val="12"/>
        <color theme="1"/>
        <rFont val="Arial"/>
        <family val="2"/>
      </rPr>
      <t>ARTÍCULO 2. Conversión de las cifras y valores expresados en UVT en valores absolutos.</t>
    </r>
    <r>
      <rPr>
        <sz val="12"/>
        <color theme="1"/>
        <rFont val="Arial"/>
        <family val="2"/>
      </rPr>
      <t xml:space="preserve"> Para efectos de convertir en valores absolutos las cifras y valores expresados en UVT aplicables a las disposiciones relativas a los impuestos y obligaciones administrados por la Unidad Administrativa Especial Dirección de Impuestos y Aduanas Nacionales -DIAN, de que trata el artículo 868-1 del Estatuto Tributario, debe multiplicarse el número de las Unidades de Valor Tributario - UVT por el valor de la UVT y su resultado se aproxima de acuerdo con el procedimiento de aproximaciones de que trata el inciso sexto del artículo 868 del Estatuto Tributario</t>
    </r>
  </si>
  <si>
    <r>
      <rPr>
        <b/>
        <sz val="12"/>
        <color theme="1"/>
        <rFont val="Arial"/>
        <family val="2"/>
      </rPr>
      <t>ARTICULO 3. Publicación</t>
    </r>
    <r>
      <rPr>
        <sz val="12"/>
        <color theme="1"/>
        <rFont val="Arial"/>
        <family val="2"/>
      </rPr>
      <t>. Publicar la presente Resolución en el Diario Oficial, de conformidad con el artículo 65 del Código Administrativo y de lo Contencioso Administrativo.</t>
    </r>
  </si>
  <si>
    <r>
      <rPr>
        <b/>
        <sz val="12"/>
        <color theme="1"/>
        <rFont val="Arial"/>
        <family val="2"/>
      </rPr>
      <t>ARTICULO 4. Vigencia</t>
    </r>
    <r>
      <rPr>
        <sz val="12"/>
        <color theme="1"/>
        <rFont val="Arial"/>
        <family val="2"/>
      </rPr>
      <t>. La presente Resolución rige a partir de la fecha de su publicación.</t>
    </r>
  </si>
  <si>
    <t>Valor en $           Año   2.021</t>
  </si>
  <si>
    <r>
      <rPr>
        <b/>
        <sz val="12"/>
        <color theme="1"/>
        <rFont val="Arial"/>
        <family val="2"/>
      </rPr>
      <t>Resolución 000011 del 11 de diciembre de 2020</t>
    </r>
    <r>
      <rPr>
        <sz val="12"/>
        <color theme="1"/>
        <rFont val="Arial"/>
        <family val="2"/>
      </rPr>
      <t>.- Que de acuerdo con la Certificación 147022 del 18 de noviembre de 2020, expedida por el Departamento Administrativo Nacional de Estadística –DANE, la variación acumulada del índice de precios al consumidor para “clase media” en el periodo comprendido entre el 1º de octubre de 2019 y el 1º de octubre de 2020,</t>
    </r>
    <r>
      <rPr>
        <b/>
        <sz val="12"/>
        <color rgb="FFFF0000"/>
        <rFont val="Arial"/>
        <family val="2"/>
      </rPr>
      <t xml:space="preserve"> fue de 1,97%</t>
    </r>
    <r>
      <rPr>
        <sz val="12"/>
        <color theme="1"/>
        <rFont val="Arial"/>
        <family val="2"/>
      </rPr>
      <t>.</t>
    </r>
  </si>
  <si>
    <t>A través del artículo 49 de la Ley 1955 de 2019 (Plan Nacional de Desarrollo 2018 – 2022) se estableció que a partir del 1 de enero de 2020 todas las multas, tasas, tarifas, sanciones, estampillas y otras cifras que actualmente se encuentran expresadas en términos de salarios mínimo mensuales vigentes –smmlv– (caso, por ejemplo, de las multas de tránsito, las sanciones del Código Penal y las tarifas para renovar la matrícula mercantil) deberán ser reexpresados en términos de UVT. Dicho artículo en mención reza:</t>
  </si>
  <si>
    <r>
      <t>“Artículo 49. Cálculo de valores en UVT. </t>
    </r>
    <r>
      <rPr>
        <sz val="12"/>
        <rFont val="Arial"/>
        <family val="2"/>
      </rPr>
      <t>A partir del 1° de enero de 2020, todos los cobros, sanciones, multas, tasas, tarifas y estampillas, actualmente denominados y establecidos con base en el salario mínimo mensual legal vigente (smmlv), deberán ser calculados con base en su equivalencia en términos de la Unidad de Valor Tributario (UVT). En adelante, las actualizaciones de estos valores también se harán con base en el valor de la UVT vigente.</t>
    </r>
  </si>
  <si>
    <t>ARTICULO 50. Modificase el artículo 868 del Estatuto Tributario, el cual queda así:</t>
  </si>
  <si>
    <t>LEY     1111    DE  27  DE  DICIEMBRE DE  2006</t>
  </si>
  <si>
    <t>El valor de la unidad de valor tributario se reajustará anualmente en la variación del índice de precios al consumidor para ingresos medios, certificado por el Departamento Administrativo Nacional de Estadística, en el período comprendido entre el primero (1) de octubre del año anterior al gravable y la misma fecha del año inmediatamente anterior a éste</t>
  </si>
  <si>
    <t>De acuerdo con lo previsto en el presente artículo, el Director General de la Dirección de Impuestos y Aduanas Nacionales publicará mediante Resolución antes del primero (1) de enero de cada año, el valor de la UVT aplicable para el año gravable siguiente. Si no lo publicare oportunamente, el contribuyente aplicará el aumento autorizado</t>
  </si>
  <si>
    <t>El valor en pesos de la UVT será de veinte mil pesos ($20.000.oo) (Valor año base 2006).</t>
  </si>
  <si>
    <t>Cuando las normas tributarias expresadas en UVT se conviertan en valores absolutos, se empleará el procedimiento de aproximaciones que se señala a continuación, a fin de obtener cifras enteras y de fácil operación:</t>
  </si>
  <si>
    <t>a) Se prescindirá de las fracciones de peso, tomando el número entero más próximo cuando el resultado sea de cien pesos ($ 100) o menos;</t>
  </si>
  <si>
    <t>b) Se aproximará al múltiplo de cien más cercano, si el resultado estuviere entre cien pesos ($ 100) y diez mil pesos ($ 10.000);</t>
  </si>
  <si>
    <t>c) Se aproximará al múltiplo de mil más cercano, cuando el resultado fuere superior a diez mil pesos ($ 10.000).</t>
  </si>
  <si>
    <t xml:space="preserve">Ley 1111 de 2006, artículo 50; crea la uvt con valor de </t>
  </si>
  <si>
    <t>DECRETO  1763  DE  23 DICIEMBRE DE 2020</t>
  </si>
  <si>
    <t>AJUSTE DE ACTIVOS FIJOS  AG 2020</t>
  </si>
  <si>
    <t>Por el cual se reglamentan los artículos 70 y 73 del Estatuto Tributario y se sustituyen los artículos 1.2.1.17.20. y 1.2.1.17.21. del Capítulo 17 del Título 1 de la Parte 2 del Libro 1 del Decreto 1625 de 2016, Único Reglamentario en Materia Tributaria</t>
  </si>
  <si>
    <t>EL PRESIDENTE DE LA REPÚBLICA DE COLOMBIA</t>
  </si>
  <si>
    <t>1.- El valor que se obtenga de multiplicar el costo fiscal de los activos fijos enajenados, que figure en la declaración de renta por el año gravable de 1986 por treinta y nueve punto cuarenta y seis (39.46) si se trata de acciones o aportes, y por trescientos sesenta y dos punto treinta y siete (362.37), en el caso de bienes raíces.</t>
  </si>
  <si>
    <t>2.- El valor que se obtenga de multiplicar el costo de adquisición del bien enajenado por la cifra de ajuste que figure frente al año de adquisición del mismo, conforme con la siguiente tabla:</t>
  </si>
  <si>
    <t>AÑO ADQUISICION</t>
  </si>
  <si>
    <t>1955 y anteriores</t>
  </si>
  <si>
    <t>Accionesy aportes</t>
  </si>
  <si>
    <t>Bienes Raíces</t>
  </si>
  <si>
    <t>De conformidad con lo dispuesto por el artículo 73 del Estatuto Tributario, en cualquiera de los casos señalados en los numerales 1 y 2, la cifra obtenida, puede ser incrementada en el valor de las mejoras y contribuciones por valorización que se hubieren pagado, cuando se trate de bienes raíces</t>
  </si>
  <si>
    <r>
      <rPr>
        <b/>
        <sz val="12"/>
        <color theme="1"/>
        <rFont val="Arial"/>
        <family val="2"/>
      </rPr>
      <t>Artículo 1.- Sustitución de los artículos 1.2.1.17.20. y 1.2.1.17.21. del Capítulo 17 del Título 1 de la Parte 2 del Libro 1 del Decreto 1625 de 2016, Único Reglamentario en Materia Tributaria</t>
    </r>
    <r>
      <rPr>
        <sz val="12"/>
        <color theme="1"/>
        <rFont val="Arial"/>
        <family val="2"/>
      </rPr>
      <t>. Sustitúyanse los artículos .1.2.1.17.20. y 1.2.1.17.21. del Capítulo 17 del Título 1 de la Parte 2 del Libro 1 del Decreto 1625 de 2016, Único Reglamentario en Materia Tributaria, así:</t>
    </r>
  </si>
  <si>
    <t>UVT  AÑO  2021</t>
  </si>
  <si>
    <t>Compras de bienes raíces cuya destinación y uso sea vivienda de habitación (por las primeras 20.000 UVT, es decir hasta $726.160.000)</t>
  </si>
  <si>
    <t>% de retención</t>
  </si>
  <si>
    <t>Compras  de bienes raíces cuya destinación y uso sea vivienda de habitación (exceso de las primeras 20.000 UVT, es decir superior a $726.160,000)</t>
  </si>
  <si>
    <r>
      <t xml:space="preserve">Parágrafo 4.- </t>
    </r>
    <r>
      <rPr>
        <sz val="12"/>
        <color rgb="FF4B4949"/>
        <rFont val="Arial"/>
        <family val="2"/>
      </rPr>
      <t>Parágrafo adicionado por el artículo </t>
    </r>
    <r>
      <rPr>
        <sz val="12"/>
        <color rgb="FF0073FF"/>
        <rFont val="Arial"/>
        <family val="2"/>
      </rPr>
      <t>4</t>
    </r>
    <r>
      <rPr>
        <sz val="12"/>
        <color rgb="FF4B4949"/>
        <rFont val="Arial"/>
        <family val="2"/>
      </rPr>
      <t xml:space="preserve"> de la Ley 2010 de 2019. El nuevo texto es el siguiente: </t>
    </r>
    <r>
      <rPr>
        <b/>
        <sz val="12"/>
        <color rgb="FF4B4949"/>
        <rFont val="Arial"/>
        <family val="2"/>
      </rPr>
      <t>No serán responsables del impuesto sobre las ventas</t>
    </r>
    <r>
      <rPr>
        <sz val="12"/>
        <color rgb="FF4B4949"/>
        <rFont val="Arial"/>
        <family val="2"/>
      </rPr>
      <t xml:space="preserve"> – IVA los contribuyentes del impuesto unificado bajo el Régimen Simple de Tributación -SIMPLE cuando únicamente desarrollen una o más actividades establecidas en el </t>
    </r>
    <r>
      <rPr>
        <b/>
        <sz val="12"/>
        <color theme="1"/>
        <rFont val="Arial"/>
        <family val="2"/>
      </rPr>
      <t>numeral 1 del artículo 908</t>
    </r>
    <r>
      <rPr>
        <b/>
        <sz val="12"/>
        <color rgb="FF4B4949"/>
        <rFont val="Arial"/>
        <family val="2"/>
      </rPr>
      <t> </t>
    </r>
    <r>
      <rPr>
        <sz val="12"/>
        <color rgb="FF4B4949"/>
        <rFont val="Arial"/>
        <family val="2"/>
      </rPr>
      <t>del E.T.</t>
    </r>
  </si>
  <si>
    <t>Artículo 437  E.T.   RESPONSABLES  DE  IVA</t>
  </si>
  <si>
    <t>Parágrafo 3.- No responsabales</t>
  </si>
  <si>
    <r>
      <t xml:space="preserve">Para la celebración de contratos de venta de bienes y/o de prestación de servicios gravados por </t>
    </r>
    <r>
      <rPr>
        <b/>
        <sz val="12"/>
        <color rgb="FF4B4949"/>
        <rFont val="Arial"/>
        <family val="2"/>
      </rPr>
      <t>cuantía individual y superior a 3.500 UVT,</t>
    </r>
    <r>
      <rPr>
        <sz val="12"/>
        <color rgb="FF4B4949"/>
        <rFont val="Arial"/>
        <family val="2"/>
      </rPr>
      <t xml:space="preserve"> estas personas deberán inscribirse previamente como responsables del impuesto sobre las ventas (IVA), formalidad que deberá exigirse por el contratista para la procedencia de costos y deducciones. </t>
    </r>
    <r>
      <rPr>
        <b/>
        <sz val="12"/>
        <color rgb="FF4B4949"/>
        <rFont val="Arial"/>
        <family val="2"/>
      </rPr>
      <t>Lo anterior también será aplicable cuando un mismo contratista celebre varios contratos que superen la suma de 3.500 UVT.</t>
    </r>
  </si>
  <si>
    <t>a) Que en el año anterior hubieren obtenido ingresos brutos totales, provenientes de la actividad, inferiores a 3.500 UVT;</t>
  </si>
  <si>
    <r>
      <t>PARÁGRAFO 1o. </t>
    </r>
    <r>
      <rPr>
        <sz val="9"/>
        <color rgb="FF4B4949"/>
        <rFont val="Arial"/>
        <family val="2"/>
      </rPr>
      <t>Para la celebración de operaciones gravadas provenientes de la actividad por cuantía individual e igual o superior a 3.500 UVT, estas personas deberán inscribirse previamente como responsables del impuesto.</t>
    </r>
  </si>
  <si>
    <r>
      <t>PARÁGRAFO 2o. </t>
    </r>
    <r>
      <rPr>
        <sz val="9"/>
        <color rgb="FF4B4949"/>
        <rFont val="Arial"/>
        <family val="2"/>
      </rPr>
      <t xml:space="preserve">Los responsables del impuesto, una vez registrados, </t>
    </r>
    <r>
      <rPr>
        <b/>
        <sz val="9"/>
        <color rgb="FF4B4949"/>
        <rFont val="Arial"/>
        <family val="2"/>
      </rPr>
      <t>sólo podrán solicitar su retiro del régimen cuando demuestren que en los tres (3) años fiscales anteriores se cumplieron, por cada año, las condiciones</t>
    </r>
    <r>
      <rPr>
        <sz val="9"/>
        <color rgb="FF4B4949"/>
        <rFont val="Arial"/>
        <family val="2"/>
      </rPr>
      <t xml:space="preserve"> establecidas en la presente disposición para tener la condición de no responsables.</t>
    </r>
  </si>
  <si>
    <t>Los dividendos y participaciones que se distribuyan a partir del primero (1) de enero de 2020 con cargo a utilidades generadas a partir del primero (1) de enero de 2017 que no hayan sido decretados en calidad de exigibles hasta el treinta y uno (31) de diciembre de 2019, a las personas naturales residentes y sucesiones ilíquidas de causantes que al momento de su muerte eran residentes del país, tendrán el siguiente tratamiento:</t>
  </si>
  <si>
    <t>0 a 300 UVT = 0</t>
  </si>
  <si>
    <t>Mas de 300 UVT =  10%</t>
  </si>
  <si>
    <t>Los considerados como ingreso no constitutivo de renta ni ganancia ocasional, conforme con lo dispuesto en los artículos 48 y 49 del Estatuto Tributario, estarán sujetos a las siguientes tarifas del impuesto sobre la renta:</t>
  </si>
  <si>
    <t>Los considerados gravados pagan con el 240 más lo propio</t>
  </si>
  <si>
    <r>
      <t xml:space="preserve">Los que no hayan sido decretados en calidad de exigibles hasta el treinta y uno (31) de diciembre de 2019 </t>
    </r>
    <r>
      <rPr>
        <b/>
        <sz val="12"/>
        <color theme="1"/>
        <rFont val="Arial"/>
        <family val="2"/>
      </rPr>
      <t>a las sociedades y entidades extranjeras</t>
    </r>
    <r>
      <rPr>
        <sz val="12"/>
        <color theme="1"/>
        <rFont val="Arial"/>
        <family val="2"/>
      </rPr>
      <t xml:space="preserve"> y por personas naturales no residentes y sucesiones ilíquidas de</t>
    </r>
    <r>
      <rPr>
        <b/>
        <sz val="12"/>
        <color theme="1"/>
        <rFont val="Arial"/>
        <family val="2"/>
      </rPr>
      <t xml:space="preserve"> causantes no residentes </t>
    </r>
    <r>
      <rPr>
        <sz val="12"/>
        <color theme="1"/>
        <rFont val="Arial"/>
        <family val="2"/>
      </rPr>
      <t>al momento de su muerte, tendrá el siguiente tratamiento:</t>
    </r>
  </si>
  <si>
    <r>
      <t xml:space="preserve">Los considerados como </t>
    </r>
    <r>
      <rPr>
        <b/>
        <sz val="12"/>
        <color theme="1"/>
        <rFont val="Arial"/>
        <family val="2"/>
      </rPr>
      <t>ingreso no constitutivo de renta ni ganancia ocasional,</t>
    </r>
    <r>
      <rPr>
        <sz val="12"/>
        <color theme="1"/>
        <rFont val="Arial"/>
        <family val="2"/>
      </rPr>
      <t xml:space="preserve"> conforme con lo dispuesto en los artículos 48 y 49 del Estatuto Tributario, les será aplicable la </t>
    </r>
    <r>
      <rPr>
        <b/>
        <sz val="12"/>
        <color theme="1"/>
        <rFont val="Arial"/>
        <family val="2"/>
      </rPr>
      <t>tarifa del impuesto sobre la renta y complementarios del diez por ciento (10%)</t>
    </r>
    <r>
      <rPr>
        <sz val="12"/>
        <color theme="1"/>
        <rFont val="Arial"/>
        <family val="2"/>
      </rPr>
      <t>.</t>
    </r>
  </si>
  <si>
    <r>
      <t xml:space="preserve">dividendos y participaciones </t>
    </r>
    <r>
      <rPr>
        <b/>
        <sz val="12"/>
        <color theme="1"/>
        <rFont val="Arial"/>
        <family val="2"/>
      </rPr>
      <t xml:space="preserve">provenientes de sociedades y entidades extranjeras, pagados o abonados en cuenta a las sociedades nacionales. </t>
    </r>
    <r>
      <rPr>
        <sz val="12"/>
        <color theme="1"/>
        <rFont val="Arial"/>
        <family val="2"/>
      </rPr>
      <t>Los dividendos y participaciones provenientes de sociedades y entidades extranjeras, pagados o abonados en cuenta a las sociedades nacionales, estarán sometidos a la tarifa del impuesto sobre la renta prevista en el inciso 1 del artículo 240</t>
    </r>
  </si>
  <si>
    <t xml:space="preserve">Las utilidades SI gravadas  ahora tienen Retención en l fuente del 20% a partir de 1.400 UVT </t>
  </si>
  <si>
    <r>
      <rPr>
        <b/>
        <sz val="11"/>
        <color theme="1"/>
        <rFont val="Arial"/>
        <family val="2"/>
      </rPr>
      <t>Artículo 1.6.1.13.2.7. Contribuyentes no obligados a presentar declaración del impuesto sobre la renta y complementario.</t>
    </r>
    <r>
      <rPr>
        <sz val="11"/>
        <color theme="1"/>
        <rFont val="Arial"/>
        <family val="2"/>
      </rPr>
      <t xml:space="preserve"> No están obligados a presentar declaración del impuesto sobre la renta y complementario por el año gravable 2020 los siguientes contribuyentes</t>
    </r>
  </si>
  <si>
    <t>Entidades Financieras Grandes Contribuyente - Sobretasa del Par 7 Art 240</t>
  </si>
  <si>
    <t>Primera Cuota: La misma  tabla del declaración y pago anterior</t>
  </si>
  <si>
    <t>Segunda Cuota: La misma  tabla de pago de la tercera cuota</t>
  </si>
  <si>
    <t>29 y 30</t>
  </si>
  <si>
    <t>Jurídicas.- Declaración Anual de  activos en el exterior.- En el plazo presentación de declaración</t>
  </si>
  <si>
    <t>Naturales.- Declaración Anual de  activos en el exterior.- En el plazo presentación de declaración</t>
  </si>
  <si>
    <t>Nit: 1, 2, 3, 4, 5, 6, 7, 8, 9, 0</t>
  </si>
  <si>
    <t>Ingresos Brutos</t>
  </si>
  <si>
    <r>
      <t xml:space="preserve">Parágrafo 3. Los contribuyentes del </t>
    </r>
    <r>
      <rPr>
        <b/>
        <sz val="12"/>
        <color rgb="FFFF0000"/>
        <rFont val="Arial"/>
        <family val="2"/>
      </rPr>
      <t>Régimen Simple de Tributación</t>
    </r>
    <r>
      <rPr>
        <sz val="12"/>
        <color theme="1"/>
        <rFont val="Arial"/>
        <family val="2"/>
      </rPr>
      <t xml:space="preserve"> responsables del impuesto sobre las ventas -IVA, deberán sujetarse a los plazos establecidos en el artículo 1.6.1.13.2.51. de este Decreto.</t>
    </r>
  </si>
  <si>
    <r>
      <t>"Artículo 1.6.1.13.2.33. Declaración mensual de retenciones y autorretenciones en la fuente de que trata el articulo 1.2.6.6. de este Decreto.</t>
    </r>
    <r>
      <rPr>
        <b/>
        <sz val="12"/>
        <color rgb="FFFF0000"/>
        <rFont val="Arial"/>
        <family val="2"/>
      </rPr>
      <t xml:space="preserve"> Los agentes de retención del impuesto sobre la renta y complementario y/o impuesto de timbre, y/o impuesto sobre las ventas -IVA y/o contribución por laudos arbitrale</t>
    </r>
    <r>
      <rPr>
        <sz val="12"/>
        <color theme="1"/>
        <rFont val="Arial"/>
        <family val="2"/>
      </rPr>
      <t>s a que se refieren los artículos 368, 368-1, 368-2, 437-2 Y 518 del E.T. y artículo 130 de la Ley 1955 de 2019, así como los autorretenedores del impuesto sobre la renta y complementario de que trata el artículo 1.2.6.6. de este Decreto deberán declarar y pagar las retenciones y autorretenciones efectuadas en cada mes, en el formulario prescrito por la Unidad Administrativa Especial Dirección de Impuestos y Aduanas Nacionales -DIAN.</t>
    </r>
  </si>
  <si>
    <r>
      <rPr>
        <b/>
        <sz val="12"/>
        <color theme="1"/>
        <rFont val="Arial"/>
        <family val="2"/>
      </rPr>
      <t>Parágrafo 5</t>
    </r>
    <r>
      <rPr>
        <sz val="12"/>
        <color theme="1"/>
        <rFont val="Arial"/>
        <family val="2"/>
      </rPr>
      <t>. Sin perjuicio de lo previsto en el inciso 5 ,de este parágrafo,</t>
    </r>
    <r>
      <rPr>
        <b/>
        <sz val="12"/>
        <color rgb="FFFF0000"/>
        <rFont val="Arial"/>
        <family val="2"/>
      </rPr>
      <t xml:space="preserve"> las declaraciones de retención en la fuente presentadas sin pago total no producirán efecto legal alguno,</t>
    </r>
    <r>
      <rPr>
        <sz val="12"/>
        <color theme="1"/>
        <rFont val="Arial"/>
        <family val="2"/>
      </rPr>
      <t xml:space="preserve"> sin necesidad de acto administrativo que así lo declare.</t>
    </r>
  </si>
  <si>
    <t>"Artículo 1.6.1.13.2.29. Plazos para presentar la documentación Comprobatoria. - (Multinacionales)  Informe Maestro</t>
  </si>
  <si>
    <r>
      <t xml:space="preserve">"Artículo 1.6.1.13.2.40. Obligación de expedir certífícados por parte del agente retenedor del ímpuesto sobre la renta y complementario y del gravamen a los movimientos financieros -GMF. Los agentes retenedores del impuesto sobre la renta y complementario y los del gravamen a los movimientos financieros -GMF, deberán expedir a </t>
    </r>
    <r>
      <rPr>
        <b/>
        <sz val="12"/>
        <color rgb="FFFF0000"/>
        <rFont val="Arial"/>
        <family val="2"/>
      </rPr>
      <t>más tardar el treinta y uno (31) de marzo de 2021,</t>
    </r>
    <r>
      <rPr>
        <sz val="12"/>
        <color theme="1"/>
        <rFont val="Arial"/>
        <family val="2"/>
      </rPr>
      <t xml:space="preserve"> los siguientes certificados por el año gravable </t>
    </r>
    <r>
      <rPr>
        <b/>
        <sz val="12"/>
        <color theme="1"/>
        <rFont val="Arial"/>
        <family val="2"/>
      </rPr>
      <t>2020</t>
    </r>
    <r>
      <rPr>
        <sz val="12"/>
        <color theme="1"/>
        <rFont val="Arial"/>
        <family val="2"/>
      </rPr>
      <t>:</t>
    </r>
  </si>
  <si>
    <r>
      <t xml:space="preserve">Los certificados de ingresos y retenciones por concepto de pagos originados en la </t>
    </r>
    <r>
      <rPr>
        <b/>
        <sz val="12"/>
        <color theme="1"/>
        <rFont val="Arial"/>
        <family val="2"/>
      </rPr>
      <t>relación laboral o legal y reglamentaria</t>
    </r>
    <r>
      <rPr>
        <sz val="12"/>
        <color theme="1"/>
        <rFont val="Arial"/>
        <family val="2"/>
      </rPr>
      <t xml:space="preserve"> a que se refiere el artículo 378 del Estatuto Tributario.  (220)</t>
    </r>
  </si>
  <si>
    <r>
      <t xml:space="preserve">Los certificados de retenciones en la fuente por conceptos </t>
    </r>
    <r>
      <rPr>
        <b/>
        <sz val="12"/>
        <color theme="1"/>
        <rFont val="Arial"/>
        <family val="2"/>
      </rPr>
      <t xml:space="preserve">distintos a pagos originados en la relación laboral o legal y reglamentaria, </t>
    </r>
    <r>
      <rPr>
        <sz val="12"/>
        <color theme="1"/>
        <rFont val="Arial"/>
        <family val="2"/>
      </rPr>
      <t>a que se refiere el artículo 381 del Estatuto Tributario y del gravamen a los movimientos financieros -GMF.</t>
    </r>
  </si>
  <si>
    <r>
      <t xml:space="preserve">La certificación del </t>
    </r>
    <r>
      <rPr>
        <b/>
        <sz val="12"/>
        <color theme="1"/>
        <rFont val="Arial"/>
        <family val="2"/>
      </rPr>
      <t>valor patrimonial de los aportes y acciones, así como de las participaciones y dividendos gravados o no gravados abonados en cuenta en calidad de exigibles para los respectivos socios, comuneros, cooperados, asociados o accionistas</t>
    </r>
    <r>
      <rPr>
        <sz val="12"/>
        <color theme="1"/>
        <rFont val="Arial"/>
        <family val="2"/>
      </rPr>
      <t>, deberá expedirse d</t>
    </r>
    <r>
      <rPr>
        <b/>
        <sz val="12"/>
        <color rgb="FFFF0000"/>
        <rFont val="Arial"/>
        <family val="2"/>
      </rPr>
      <t>entro de los quince (15) días calendario siguientes a la fecha de la solicitud.</t>
    </r>
  </si>
  <si>
    <r>
      <t xml:space="preserve">Los certificados sobre </t>
    </r>
    <r>
      <rPr>
        <b/>
        <sz val="12"/>
        <color theme="1"/>
        <rFont val="Arial"/>
        <family val="2"/>
      </rPr>
      <t>la parte no gravada de los rendimientos financieros pagados a los ahorradores,</t>
    </r>
    <r>
      <rPr>
        <sz val="12"/>
        <color theme="1"/>
        <rFont val="Arial"/>
        <family val="2"/>
      </rPr>
      <t xml:space="preserve"> a que se refiere el artículo 622 del Estatuto Tributario, deberán expedirse y entregarse </t>
    </r>
    <r>
      <rPr>
        <b/>
        <sz val="12"/>
        <color rgb="FFFF0000"/>
        <rFont val="Arial"/>
        <family val="2"/>
      </rPr>
      <t>dentro de los quince (15) días calendario siguientes a la fecha de la solicitud</t>
    </r>
    <r>
      <rPr>
        <sz val="12"/>
        <color theme="1"/>
        <rFont val="Arial"/>
        <family val="2"/>
      </rPr>
      <t xml:space="preserve"> por parte del ahorrador.</t>
    </r>
  </si>
  <si>
    <t>Así las cosas, las personas naturales no residentes en el territorio nacional, no serán responsables de presentar la declaración de renta en los siguientes casos:</t>
  </si>
  <si>
    <t>2. Poseer patrimonio y no haber obtenido ingresos en el país.</t>
  </si>
  <si>
    <t>3. No poseer patrimonio en el país y haber obtenido en el respectivo año gravable ingresos en el país sobre los cuales se haya practicado retención en la fuente prevista según los conceptos previstos en los artículos 407 a 411 del E.T. en su totalidad</t>
  </si>
  <si>
    <r>
      <t>4. Lo anterior siempre y cuando no se configuren los supuestos de hecho previstos en los artículos </t>
    </r>
    <r>
      <rPr>
        <sz val="12"/>
        <color rgb="FF0089E1"/>
        <rFont val="Arial"/>
        <family val="2"/>
      </rPr>
      <t>20-1</t>
    </r>
    <r>
      <rPr>
        <sz val="12"/>
        <color rgb="FF555555"/>
        <rFont val="Arial"/>
        <family val="2"/>
      </rPr>
      <t> y </t>
    </r>
    <r>
      <rPr>
        <sz val="12"/>
        <color rgb="FF0089E1"/>
        <rFont val="Arial"/>
        <family val="2"/>
      </rPr>
      <t>20-2</t>
    </r>
    <r>
      <rPr>
        <sz val="12"/>
        <color rgb="FF555555"/>
        <rFont val="Arial"/>
        <family val="2"/>
      </rPr>
      <t> del Estatuto Tributario en relación con los establecimientos permanentes</t>
    </r>
  </si>
  <si>
    <t>TABLA  DE  VALORES  ABSOLUTOS  EXPRESADOS  EN  UVT  -  DESDE LOS AÑOS  2006  HASTA  2021</t>
  </si>
  <si>
    <r>
      <rPr>
        <b/>
        <sz val="12"/>
        <color theme="1"/>
        <rFont val="Arial"/>
        <family val="2"/>
      </rPr>
      <t>c) Las Personas naturales o jurídicas extranjeras</t>
    </r>
    <r>
      <rPr>
        <sz val="12"/>
        <color theme="1"/>
        <rFont val="Arial"/>
        <family val="2"/>
      </rPr>
      <t xml:space="preserve">.- Las personas naturales o jurídicas extranjeras, sin residencia o domicilio en país, </t>
    </r>
    <r>
      <rPr>
        <b/>
        <sz val="12"/>
        <color rgb="FFFF0000"/>
        <rFont val="Arial"/>
        <family val="2"/>
      </rPr>
      <t>cuando la totalidad sus ingresos hubieren sometidos a la retención</t>
    </r>
    <r>
      <rPr>
        <sz val="12"/>
        <color theme="1"/>
        <rFont val="Arial"/>
        <family val="2"/>
      </rPr>
      <t xml:space="preserve"> en la fuente que tratan artículos 407 a 409 del Estatuto Tributario y dicha en la fuente les hubiere sido practicada</t>
    </r>
  </si>
  <si>
    <r>
      <rPr>
        <b/>
        <sz val="12"/>
        <color theme="1"/>
        <rFont val="Arial"/>
        <family val="2"/>
      </rPr>
      <t>d)</t>
    </r>
    <r>
      <rPr>
        <sz val="12"/>
        <color theme="1"/>
        <rFont val="Arial"/>
        <family val="2"/>
      </rPr>
      <t xml:space="preserve"> Las personas naturales o jurídicas que pertenezcan al </t>
    </r>
    <r>
      <rPr>
        <b/>
        <sz val="12"/>
        <color rgb="FFFF0000"/>
        <rFont val="Arial"/>
        <family val="2"/>
      </rPr>
      <t>Régimen Simple de Tributación</t>
    </r>
    <r>
      <rPr>
        <sz val="12"/>
        <color theme="1"/>
        <rFont val="Arial"/>
        <family val="2"/>
      </rPr>
      <t>.</t>
    </r>
  </si>
  <si>
    <t>Art. Ley 2010</t>
  </si>
  <si>
    <t>ARTíCULO 92°. Modifíquense el inciso primero y el parágrafo 5 y adiciónese el parágrafo 7, al artículo 240 del Estatuto Tributario, los cuales quedarán así:</t>
  </si>
  <si>
    <t>PLAZOS PARA DECLARAR Y PAGAR EL IMPUESTO AL PATRIMONIO</t>
  </si>
  <si>
    <t>Artículo 1.6.1.13.2.53. Plazos para declarar y pagar el impuesto al patrimonio. Los contribuyentes sujetos al impuesto al patrimonio de conformidad con lo dispuesto en el artículo 292-2 del Estatuto Tributario, deberán presentar la declaración correspondiente al año 2021, en el formulario prescrito por la DIAN.</t>
  </si>
  <si>
    <r>
      <rPr>
        <b/>
        <sz val="12"/>
        <color rgb="FFFF0000"/>
        <rFont val="Arial"/>
        <family val="2"/>
      </rPr>
      <t>Parágrafo 1. El valor de la primera cuota será el cincuenta por ciento (50%) del impuesto</t>
    </r>
    <r>
      <rPr>
        <sz val="12"/>
        <color theme="1"/>
        <rFont val="Arial"/>
        <family val="2"/>
      </rPr>
      <t xml:space="preserve"> al patrimonio determinado de conformidad con lo dispuesto en los artículos 292-2, 295-2 Y 296-2 E.T.</t>
    </r>
  </si>
  <si>
    <r>
      <t> </t>
    </r>
    <r>
      <rPr>
        <sz val="12"/>
        <color rgb="FF000000"/>
        <rFont val="Arial"/>
        <family val="2"/>
      </rPr>
      <t xml:space="preserve">La tarifa general del impuesto sobre la renta aplicable a las sociedades nacionales y sus asimiladas, los esta blecimientos permanentes de entidades del exterior y las personas jurídicas extranjeras con o sin residencia en el país, obligadas a presentar la declaración anual del impuesto sobre la renta y complementarios, </t>
    </r>
    <r>
      <rPr>
        <b/>
        <sz val="12"/>
        <color rgb="FFFF0000"/>
        <rFont val="Arial"/>
        <family val="2"/>
      </rPr>
      <t>será del treinta y dos por ciento (32%) para el año gravable 2020,</t>
    </r>
    <r>
      <rPr>
        <b/>
        <sz val="12"/>
        <color rgb="FF0066FF"/>
        <rFont val="Arial"/>
        <family val="2"/>
      </rPr>
      <t xml:space="preserve"> treinta y unopor ciento (31%) para el año gravable 2021 y del treinta por ciento (30%)</t>
    </r>
    <r>
      <rPr>
        <sz val="12"/>
        <color rgb="FF000000"/>
        <rFont val="Arial"/>
        <family val="2"/>
      </rPr>
      <t xml:space="preserve"> a partirdel año gravable 2022.</t>
    </r>
  </si>
  <si>
    <t>Lo aquí dispuesto no debe interpretarse como una renovación o extensión de los beneficios previstos en los artículos mencionados en este parágrafo.</t>
  </si>
  <si>
    <r>
      <rPr>
        <b/>
        <sz val="12"/>
        <color theme="1"/>
        <rFont val="Arial"/>
        <family val="2"/>
      </rPr>
      <t>Parágrafo 2°</t>
    </r>
    <r>
      <rPr>
        <sz val="12"/>
        <color theme="1"/>
        <rFont val="Arial"/>
        <family val="2"/>
      </rPr>
      <t>. Estarán gravadas a la tarifa del 9% las rentas obtenidas por las empresas industriales y comerciales del Estado y las sociedades de economía mixta del orden Departamental, Municipal y Distrital, en las cuales la participación del Estado sea superior del 90% que ejerzan los monopolios de suerte y azar y de licores y alcoholes.</t>
    </r>
  </si>
  <si>
    <t>1. El beneficio de la progresividad para aquellos contribuyentes que hayan accedido al mismo, no se extenderá con ocasión de lo aquí previsto.</t>
  </si>
  <si>
    <t>2. A partir de la entrada en vigencia de la presente ley, los contribuyentes que hayan accedido al beneficio liquidarán el impuesto aplicando la tabla del numeral 5 de este parágrafo de acuerdo con el número de años contados desde la fecha de inicio de la actividad económica.</t>
  </si>
  <si>
    <t>3. Los contribuyentes que hayan accedido al beneficio y que durante ese tiempo hayan incurrido en pérdidas fiscales y obtenido rentas líquidas, deberán liquidar el impuesto aplicando la tabla del numeral 5 de este parágrafo de acuerdo con el número de años contados desde la fecha de inicio de operaciones en los que no hayan incurrido en pérdidas fiscales.</t>
  </si>
  <si>
    <t>4. Los contribuyentes que hayan accedido al beneficio y que durante ese tiempo únicamente hayan incurrido en pérdidas fiscales, deberán liquidar el impuesto aplicando la tabla del numeral 5 de este parágrafo desde el año gravable en que obtengan rentas líquidas gravables, que, en todo caso, no podrá ser superior a 5 años.</t>
  </si>
  <si>
    <t>5. Tabla de Progresividad en la Tarifa para las sociedades constituidas bajo la Ley 1429 de 2010:</t>
  </si>
  <si>
    <t>AÑO                                                                                                 TARIFA</t>
  </si>
  <si>
    <t>Primer año                                                                                    9%+(TG-9%)*0</t>
  </si>
  <si>
    <t>Sexto año y siguientes                                                             TG</t>
  </si>
  <si>
    <t xml:space="preserve">TG = Tarifa general de renta para el año gravable.                                                             </t>
  </si>
  <si>
    <t>Tercer año                                                                               9%+(TG-9%)*0.25</t>
  </si>
  <si>
    <t>Cuarto año                                                                              9%+(TG-9%)*0.50</t>
  </si>
  <si>
    <t>Quinto año                                                                               9%+(TG-9%)*0.75</t>
  </si>
  <si>
    <t>Segundo año                                                                             9%+(TG-9%)*0</t>
  </si>
  <si>
    <t>6. El cambio en la composición accionaria de estas sociedades, con posterioridad a la entrada en vigencia de la presente ley, implica la pérdida del tratamiento preferencial y se someten a la tarifa general prevista en este artículo.</t>
  </si>
  <si>
    <r>
      <rPr>
        <b/>
        <sz val="12"/>
        <color theme="1"/>
        <rFont val="Arial"/>
        <family val="2"/>
      </rPr>
      <t>PARÁGRAFO 5</t>
    </r>
    <r>
      <rPr>
        <sz val="12"/>
        <color theme="1"/>
        <rFont val="Arial"/>
        <family val="2"/>
      </rPr>
      <t>. Las siguientes rentas están gravadas a la</t>
    </r>
    <r>
      <rPr>
        <b/>
        <sz val="12"/>
        <color rgb="FF0066FF"/>
        <rFont val="Arial"/>
        <family val="2"/>
      </rPr>
      <t xml:space="preserve"> tarifa del 9%</t>
    </r>
    <r>
      <rPr>
        <sz val="12"/>
        <color theme="1"/>
        <rFont val="Arial"/>
        <family val="2"/>
      </rPr>
      <t>:</t>
    </r>
  </si>
  <si>
    <r>
      <rPr>
        <b/>
        <sz val="12"/>
        <color theme="1"/>
        <rFont val="Arial"/>
        <family val="2"/>
      </rPr>
      <t>Parágrafo 1°</t>
    </r>
    <r>
      <rPr>
        <sz val="12"/>
        <color theme="1"/>
        <rFont val="Arial"/>
        <family val="2"/>
      </rPr>
      <t xml:space="preserve">. </t>
    </r>
    <r>
      <rPr>
        <b/>
        <sz val="12"/>
        <color rgb="FF0066FF"/>
        <rFont val="Arial"/>
        <family val="2"/>
      </rPr>
      <t>A partir de 2017</t>
    </r>
    <r>
      <rPr>
        <b/>
        <sz val="12"/>
        <color rgb="FFFF0000"/>
        <rFont val="Arial"/>
        <family val="2"/>
      </rPr>
      <t xml:space="preserve"> las rentas a las que se referían los numerales 3, 4, 5 del artículo 207-2 del Estatuto Tributario y la señalada en el artículo 1° de la Ley 939 de 2004 estarán gravadas con el impuesto sobre la renta y complementarios a la tarifa del 9% por el término durante el que se concedió la renta exenta inicialmente</t>
    </r>
    <r>
      <rPr>
        <sz val="12"/>
        <color theme="1"/>
        <rFont val="Arial"/>
        <family val="2"/>
      </rPr>
      <t>, siempre que se haya cumplido con las condiciones previstas en su momento para acceder a ellas. {Parágrafo modificado por la Ley 1943 de 2018, Artículo 122. }</t>
    </r>
  </si>
  <si>
    <r>
      <rPr>
        <b/>
        <sz val="12"/>
        <color theme="1"/>
        <rFont val="Arial"/>
        <family val="2"/>
      </rPr>
      <t>Parágrafo 3°</t>
    </r>
    <r>
      <rPr>
        <sz val="12"/>
        <color theme="1"/>
        <rFont val="Arial"/>
        <family val="2"/>
      </rPr>
      <t>. Las personas jurídicas contribuyentes del impuesto sobre la renta y complementarios, que hayan accedido a la fecha de entrada en vigencia de esta ley al tratamiento previsto en la Ley 1429 de 2010 tendrán las siguientes reglas:</t>
    </r>
    <r>
      <rPr>
        <sz val="12"/>
        <color rgb="FFFF0000"/>
        <rFont val="Arial"/>
        <family val="2"/>
      </rPr>
      <t xml:space="preserve"> </t>
    </r>
    <r>
      <rPr>
        <b/>
        <sz val="12"/>
        <color rgb="FFFF0000"/>
        <rFont val="Arial"/>
        <family val="2"/>
      </rPr>
      <t>(La Ley 1819 de 2016 derogó el art 4 de la Ley 1429 de 2010 la progresividad del impuesto de renta)</t>
    </r>
  </si>
  <si>
    <r>
      <rPr>
        <b/>
        <sz val="12"/>
        <color theme="1"/>
        <rFont val="Arial"/>
        <family val="2"/>
      </rPr>
      <t>PARÁGRAFO 7. Las instituciones financieras</t>
    </r>
    <r>
      <rPr>
        <sz val="12"/>
        <color theme="1"/>
        <rFont val="Arial"/>
        <family val="2"/>
      </rPr>
      <t xml:space="preserve"> deberán liquidar unos puntos adicionales al impuesto de renta y complementarios durante los siguientes periodos gravables: </t>
    </r>
    <r>
      <rPr>
        <b/>
        <sz val="12"/>
        <color rgb="FFFF0000"/>
        <rFont val="Arial"/>
        <family val="2"/>
      </rPr>
      <t>1. Para el año gravable 2020, adicionales, de cuatro (4) puntos porcentuales sobre la tarifa general del impuesto, siendo en total del treinta y seis por ciento (36%)</t>
    </r>
    <r>
      <rPr>
        <sz val="12"/>
        <color theme="1"/>
        <rFont val="Arial"/>
        <family val="2"/>
      </rPr>
      <t>.</t>
    </r>
  </si>
  <si>
    <r>
      <t>Si el incremento del </t>
    </r>
    <r>
      <rPr>
        <b/>
        <sz val="12"/>
        <color rgb="FFFF0000"/>
        <rFont val="Arial"/>
        <family val="2"/>
      </rPr>
      <t>impuesto neto de renta es de al menos un porcentaje mínimo del veinte por ciento (20%), en relación con el impuesto neto de renta del año inmediatamente anterior, la declaración de renta quedará en firme si dentro de los doce (12) meses siguientes a la fecha de su presentación</t>
    </r>
    <r>
      <rPr>
        <sz val="12"/>
        <color rgb="FF000000"/>
        <rFont val="Arial"/>
        <family val="2"/>
      </rPr>
      <t xml:space="preserve"> no se hubiere notificado emplazamiento para corregir o requerimiento especial o emplazamiento especial o liquidación provisional, siempre que la declaración sea debidamente presentada en forma oportuna y el pago se realice en los plazos que para tal efecto fije el Gobierno Nacional.</t>
    </r>
  </si>
  <si>
    <t>Esta norma no es aplicable a los contribuyentes que gocen de beneficios tributarios en razón a su ubicación en una zona geográfica determinada.</t>
  </si>
  <si>
    <t>Cuando la declaración objeto de beneficio de auditoría arroje una pérdida fiscal, la Administrqción Tributaria podrá ejercer las facultades de fiscalización para determinar la procedencia o improcedencia de la misma y por ende su compensación en años posteriores. Esta facultad se tendrá no obstante haya transcurrido los períodos de que trata el presente artículo.</t>
  </si>
  <si>
    <t>En el caso de los contribuyentes que en los años anteriores al periodo en que pretende acogerse al beneficio de auditoría, no hubieren presentado declaración de renta y complementarios, y cumplan con dicha obligación dentro de los plazos que señale el Gobierno Nacional para presentar las declaraciones correspondientes al período gravable 2020, les serán aplicables los términos de firmeza de la liquidación prevista en este artículo, para lo cual deberán incrementar el impuesto neto de renta a cargo por dichos períodos en los porcentajes de que trata el presente artículo.</t>
  </si>
  <si>
    <t>Cuando se demuestre que las retenciones en la fuente declaradas son inexistentes, no procederá el beneficio de auditoría</t>
  </si>
  <si>
    <r>
      <t>PAR 1. </t>
    </r>
    <r>
      <rPr>
        <sz val="11"/>
        <color rgb="FF000000"/>
        <rFont val="Arial"/>
        <family val="2"/>
      </rPr>
      <t>Las declaraciones de corrección y solicitudes de corrección que se presenten antes del término de firmeza de que trata el presente artículo, no afectarán la validez del beneficio de auditoría, siempre y cuando en la declaración i'licial el contribuyente cumpla con los requisitos de presentación oportuna, in remento del impuesto neto sobre la renta, pago, y en las correcciones dichos requisitos se mantengan.</t>
    </r>
  </si>
  <si>
    <r>
      <t>PAR 3. </t>
    </r>
    <r>
      <rPr>
        <sz val="12"/>
        <color rgb="FF000000"/>
        <rFont val="Arial"/>
        <family val="2"/>
      </rPr>
      <t>Cuando se trate de declaraciones que registren saldo a favor, el término para solicitar la devolución y/o compensación será el previsto en este artículo, para la firmeza de la declaración.</t>
    </r>
  </si>
  <si>
    <r>
      <t>PAR 4. </t>
    </r>
    <r>
      <rPr>
        <sz val="12"/>
        <color rgb="FF000000"/>
        <rFont val="Arial"/>
        <family val="2"/>
      </rPr>
      <t>Los términos de firmeza previstos en el presente artículo no serán aplicables en relación con las declaraciones privadas del impuesto sobre las ventas y de retención en la fuente por los períodos comprendidos en los años 2019 y 2020, las cuales se regirán en esta materia por lo previsto en los artículos 705 y 714 del Estatuto Tributario.</t>
    </r>
  </si>
  <si>
    <r>
      <t>PAR 5. </t>
    </r>
    <r>
      <rPr>
        <sz val="12"/>
        <color rgb="FF000000"/>
        <rFont val="Arial"/>
        <family val="2"/>
      </rPr>
      <t>Las disposiciones consagradas en el artículo 105 de la Ley 1943 de 2018 surtirán los efectos allí dispuestos para los contribuyentes que se hayan acogido al beneficio de auditoria por el año gravable 2019.</t>
    </r>
  </si>
  <si>
    <t>Informe 01 - Estados Financieros de Fin de Ejercicio- Corte 2020 -10 - NIIF Plenas Individual (GRUPO 1)</t>
  </si>
  <si>
    <t>Informe 01 - Estados Financieros de Fin de Ejercicio- Corte 2020 - 20 - NIIF Plenas Separado (GRUPO 1).</t>
  </si>
  <si>
    <t>Informe 01 - Estados Financieros de Fin de Ejercicio- Corte 2020 - 40 - NIIF Pymes Individual (GRUPO 2)</t>
  </si>
  <si>
    <t>Por medio de este acto administrativo se establecen los plazos y requisitos mínimos para la presentación a través del Sistema Integrado de Reportes Financieros –SIRFIN, de los estados financieros con corte a 31 de diciembre de 2020 , junto con los documentos adicionales requeridos. Para el efecto, las Entidades Empresariales deben seleccionar alguno de los siguientes puntos de entrada, según el marco normativo que aplique, y diligenciar y enviar la información financiera ahí contenida, así:</t>
  </si>
  <si>
    <t>Informe 01 - Estados Financieros de Fin de Ejercicio- Corte 2020 - 50 - NIIF Pymes Separado (GRUPO 2).</t>
  </si>
  <si>
    <t>Informe 01A - Estados Financieros de Fin de Ejercicio Grupo 3 - 70 - NIF para microempresas.</t>
  </si>
  <si>
    <t>Los administradores de las Entidades Empresariales son responsables por la correcta presentación de los estados financieros de fin de ejercicio ante esta Superintendencia</t>
  </si>
  <si>
    <t>1.1 Obligatoriedad del diligenciamiento y presentación de la información financiera</t>
  </si>
  <si>
    <t>Los estados financieros solicitados deben presentarse certificados y dictaminados, con el alcance previsto en los artículos 37 y 38 de la Ley 222 de 1995.</t>
  </si>
  <si>
    <t>2.1 Obligatoriedad del diligenciamiento y presentación de los estados financieros consolidados</t>
  </si>
  <si>
    <t>Las Entidades Empresariales que sean matrices o controlantes y que estén obligadas a reportar información financiera de fin de ejercicio en los términos del numeral primero de esta circular, también deben presentar los estados financieros consolidados2 .</t>
  </si>
  <si>
    <t>Informe 01 - Estados Financieros de Fin de Ejercicio- Corte 2019 -30 - NIIF Plenas consolidado. (Grupo 1)</t>
  </si>
  <si>
    <t>Informe 01 - Estados Financieros de Fin de Ejercicio- Corte 2019 -60 - NIIF Pymes consolidado. (Grupo 2</t>
  </si>
  <si>
    <t>Las Entidades Empresariales obligadas a presentar estados financieros combinados reportan dicha información a través del Informe 01- Estados Financieros de Fin de Ejercicio en los puntos de entrada antes enunciados.</t>
  </si>
  <si>
    <t>UVT 2021</t>
  </si>
  <si>
    <t>ARTÍCULO 3. TARIFAS DEL IMPUESTO DEPARTAMENTAL DE REGISTRO. Modifíquese el artículo 230 de la Ley 223 de 1995 (modificado por el artículo 188 de la Ley 1607 de 2012), el cual quedará así:</t>
  </si>
  <si>
    <t>"Tarifas. Las asambleas departamentales, a iniciativa de los Gobernadores, fijarán las tarifas de acuerdo con la siguiente clasificación, dentro de los siguientes rangos :</t>
  </si>
  <si>
    <t>a) Actos, contratos o negocios juddicos con cuantía sujetos a registro en las oficinas de registro de instrumentos públicos entre el 0.5% y el 1%;</t>
  </si>
  <si>
    <t>b) Actos, contratos o negocios juddicos con cuantía sujetos a registro. en las Cámaras de Comercio, distintos a aquellos que impliquen la constitución con y/o el incremento de la prima en colocación de acciones o cuotas sociales de sociedades, entre el 0.3% y el 0.7%</t>
  </si>
  <si>
    <t>d) Actos, contratos o negocios jurídicos sin cuantía sujetos a registro en las oficinas de registro de instrumentos públicos o en las cámaras de comercio, tales como el nombramiento de representantes legales, revisor fiscal, reformas estatutarias que no impliquen cesión de derechos ni aumentos del capital, escrituras aclaratorias, entre dos y cuatro salarios mínimos diarios legales.</t>
  </si>
  <si>
    <t xml:space="preserve">a) Actos, contratos o negocios jurídicos con cuantía sujetos a registro en las Cámaras de Comercio, distintos a aquellos que impliquen la constitución con y/o el incremento de la prima en colocación de acciones o cuotas sociales de sociedades, entre el 0.3% y el 0.6%; </t>
  </si>
  <si>
    <t>PARÁGRAFO SEGUNDO. Deróguese el numeral 7 del artículo 34 la Ley 1258 de 2008, así como los artículos 342, 351, 370, 458, 459, 490, el numeral 2 del artículo del artículo 457 del Decreto 410 de 1971.</t>
  </si>
  <si>
    <t>ARTÍCULO 8. CONTABILIDAD SIMPLIFICADA PARA MICROEMPRESAS. El Art. 2 de la Ley 1314 de 2009 quedará así:</t>
  </si>
  <si>
    <t>85.04.40.90.90 Inversor de energía para sistema de energía solar con paneles</t>
  </si>
  <si>
    <t>85.41.40.10.00 Paneles solares</t>
  </si>
  <si>
    <t>90.32.89.90.00 Controlador de carga para sistema de energía solar con paneles</t>
  </si>
  <si>
    <r>
      <rPr>
        <b/>
        <sz val="11"/>
        <color theme="1"/>
        <rFont val="Arial"/>
        <family val="2"/>
      </rPr>
      <t>a)</t>
    </r>
    <r>
      <rPr>
        <sz val="11"/>
        <color theme="1"/>
        <rFont val="Arial"/>
        <family val="2"/>
      </rPr>
      <t xml:space="preserve"> Los </t>
    </r>
    <r>
      <rPr>
        <b/>
        <sz val="11"/>
        <color rgb="FFFF0000"/>
        <rFont val="Arial"/>
        <family val="2"/>
      </rPr>
      <t>asalariado</t>
    </r>
    <r>
      <rPr>
        <sz val="11"/>
        <color theme="1"/>
        <rFont val="Arial"/>
        <family val="2"/>
      </rPr>
      <t xml:space="preserve">s que </t>
    </r>
    <r>
      <rPr>
        <b/>
        <sz val="11"/>
        <color rgb="FFFF0000"/>
        <rFont val="Arial"/>
        <family val="2"/>
      </rPr>
      <t xml:space="preserve">no sean responsables del impuesto a las ventas ­ IVA, </t>
    </r>
    <r>
      <rPr>
        <b/>
        <sz val="11"/>
        <color rgb="FF0066FF"/>
        <rFont val="Arial"/>
        <family val="2"/>
      </rPr>
      <t>cuyos ingresos brutos provengan por lo menos en un ochenta por ciento (80%) de pagos originados en una relación laboral o legal</t>
    </r>
    <r>
      <rPr>
        <sz val="11"/>
        <color theme="1"/>
        <rFont val="Arial"/>
        <family val="2"/>
      </rPr>
      <t xml:space="preserve"> y reglamentaria, siempre y cuando en relación con el año gravable 2020 se cumplan la totalidad de los siguientes requisitos adicionales:</t>
    </r>
  </si>
  <si>
    <r>
      <t xml:space="preserve">Para los </t>
    </r>
    <r>
      <rPr>
        <b/>
        <sz val="12"/>
        <color rgb="FFFF0000"/>
        <rFont val="Arial"/>
        <family val="2"/>
      </rPr>
      <t>periodos gravables 2020</t>
    </r>
    <r>
      <rPr>
        <sz val="12"/>
        <color rgb="FF000000"/>
        <rFont val="Arial"/>
        <family val="2"/>
      </rPr>
      <t xml:space="preserve"> y</t>
    </r>
    <r>
      <rPr>
        <b/>
        <sz val="12"/>
        <color theme="9" tint="-0.499984740745262"/>
        <rFont val="Arial"/>
        <family val="2"/>
      </rPr>
      <t xml:space="preserve"> 2021,</t>
    </r>
    <r>
      <rPr>
        <sz val="12"/>
        <color rgb="FF000000"/>
        <rFont val="Arial"/>
        <family val="2"/>
      </rPr>
      <t xml:space="preserve"> la liquidación privada de los contribuyentes del impuesto sobre la renta y complementarios que </t>
    </r>
    <r>
      <rPr>
        <b/>
        <sz val="12"/>
        <color rgb="FF0066FF"/>
        <rFont val="Arial"/>
        <family val="2"/>
      </rPr>
      <t>incrementen su impuesto neto de renta en por lo menos un porcentaje mínimo del treinta por ciento (30%), en relación con el impuesto neto de renta del año inmediatamente anterior</t>
    </r>
    <r>
      <rPr>
        <sz val="12"/>
        <color rgb="FF000000"/>
        <rFont val="Arial"/>
        <family val="2"/>
      </rPr>
      <t xml:space="preserve">, </t>
    </r>
    <r>
      <rPr>
        <b/>
        <sz val="12"/>
        <color rgb="FFFF0000"/>
        <rFont val="Arial"/>
        <family val="2"/>
      </rPr>
      <t xml:space="preserve">quedará en firme </t>
    </r>
    <r>
      <rPr>
        <b/>
        <sz val="12"/>
        <color theme="1"/>
        <rFont val="Arial"/>
        <family val="2"/>
      </rPr>
      <t xml:space="preserve">si dentro de los seis (6) meses siguientes a la fecha de su presentación </t>
    </r>
    <r>
      <rPr>
        <b/>
        <sz val="12"/>
        <color rgb="FFFF0000"/>
        <rFont val="Arial"/>
        <family val="2"/>
      </rPr>
      <t>no se hubiere notificado emplazamiento para corregir o requerimiento especial o emplazamiento especial o liquidación provisional,</t>
    </r>
    <r>
      <rPr>
        <sz val="12"/>
        <color rgb="FF000000"/>
        <rFont val="Arial"/>
        <family val="2"/>
      </rPr>
      <t xml:space="preserve"> </t>
    </r>
    <r>
      <rPr>
        <b/>
        <sz val="12"/>
        <color theme="1"/>
        <rFont val="Arial"/>
        <family val="2"/>
      </rPr>
      <t>siempre que la declaración sea debidamente presentada en forma oportuna y el pago se realice en los plazos</t>
    </r>
    <r>
      <rPr>
        <sz val="12"/>
        <color rgb="FF000000"/>
        <rFont val="Arial"/>
        <family val="2"/>
      </rPr>
      <t xml:space="preserve"> que para tal efecto fije el Gobierno Nacional.</t>
    </r>
  </si>
  <si>
    <r>
      <t xml:space="preserve">Las Entidades Empresariales </t>
    </r>
    <r>
      <rPr>
        <b/>
        <sz val="12"/>
        <color theme="1"/>
        <rFont val="Arial"/>
        <family val="2"/>
      </rPr>
      <t>sometidas a vigilancia o control,</t>
    </r>
    <r>
      <rPr>
        <sz val="12"/>
        <color theme="1"/>
        <rFont val="Arial"/>
        <family val="2"/>
      </rPr>
      <t xml:space="preserve"> están obligadas a reportar los estados financieros de fin de ejercicio, sin necesidad de orden expresa de carácter particular emitida por esta Superintendencia, por mandato del artículo 289 del Código de Comercio.</t>
    </r>
  </si>
  <si>
    <r>
      <t xml:space="preserve">Las Entidades Empresariales </t>
    </r>
    <r>
      <rPr>
        <b/>
        <sz val="12"/>
        <color theme="1"/>
        <rFont val="Arial"/>
        <family val="2"/>
      </rPr>
      <t>sometidas a inspección, a las que les sea impartida la orden</t>
    </r>
    <r>
      <rPr>
        <sz val="12"/>
        <color theme="1"/>
        <rFont val="Arial"/>
        <family val="2"/>
      </rPr>
      <t xml:space="preserve"> mediante acto administrativo de carácter particular, dirigido a la dirección o correo electrónico de notificación judicial inscrito en el registro mercantil, están obligadas a remitir los estados financieros a 31 de diciembre de 2020, por mandato del artículo 83 de la Ley 222 de 1995.</t>
    </r>
  </si>
  <si>
    <r>
      <t xml:space="preserve">Las Entidades Empresariales que conforman el Grupo 3 en virtud del </t>
    </r>
    <r>
      <rPr>
        <b/>
        <sz val="12"/>
        <color theme="1"/>
        <rFont val="Arial"/>
        <family val="2"/>
      </rPr>
      <t>Decreto 2706 de 2012,</t>
    </r>
    <r>
      <rPr>
        <sz val="12"/>
        <color theme="1"/>
        <rFont val="Arial"/>
        <family val="2"/>
      </rPr>
      <t xml:space="preserve"> modificado por el Decreto 3019 de 2013 y compilado en el Titulo 3 del Decreto 2420 de 2015 y que se encuentran sometidas a vigilancia, control o aquellas inspeccionadas a las que se les imparta la orden mediante acto administrativo de carácter particular, deberán diligenciar la información financiera en el aplicativo XBRL Express y remitirla a través del Sistema Integrado de Reportes Financieros - SIRFIN. La información financiera de este tipo de Entidades Empresariales correspondiente al corte a 31 de diciembre de 2020 y no se podrá radicar en físico o en papel ya que se tendrá como no presentada</t>
    </r>
  </si>
  <si>
    <t>LEY  DE EMPRENDIMIENTO</t>
  </si>
  <si>
    <r>
      <t xml:space="preserve">c) Actos, contratos o negocios jurídicos con cuantía sujetos a registro en las Cámaras de Comercio, </t>
    </r>
    <r>
      <rPr>
        <b/>
        <sz val="12"/>
        <color rgb="FFFF0000"/>
        <rFont val="Arial"/>
        <family val="2"/>
      </rPr>
      <t>que impliquen la constitución con y/o el incremento de la prima en colocación de acciones o</t>
    </r>
    <r>
      <rPr>
        <sz val="12"/>
        <color theme="1"/>
        <rFont val="Arial"/>
        <family val="2"/>
      </rPr>
      <t xml:space="preserve"> cuotas sociales de sociedades, entre el 0.1 % Y el 0.3%, y</t>
    </r>
  </si>
  <si>
    <r>
      <rPr>
        <b/>
        <sz val="12"/>
        <color theme="1"/>
        <rFont val="Arial"/>
        <family val="2"/>
      </rPr>
      <t>PARÁGRAFO PRIMERO.</t>
    </r>
    <r>
      <rPr>
        <sz val="12"/>
        <color theme="1"/>
        <rFont val="Arial"/>
        <family val="2"/>
      </rPr>
      <t xml:space="preserve"> </t>
    </r>
    <r>
      <rPr>
        <b/>
        <sz val="12"/>
        <color rgb="FFFF0000"/>
        <rFont val="Arial"/>
        <family val="2"/>
      </rPr>
      <t>Para las microempresas definidas en el Decreto 957 de 2019</t>
    </r>
    <r>
      <rPr>
        <sz val="12"/>
        <color theme="1"/>
        <rFont val="Arial"/>
        <family val="2"/>
      </rPr>
      <t xml:space="preserve"> o aquellos que lo modifiquen, las asambleas departamentales, a iniciativa de los Gobernadores, fijarán las tarifas de acuerdo con la siguiente clasificación, dentro de los siguientes rangos, aplicables a partir de la vigencia fiscal 2021:</t>
    </r>
  </si>
  <si>
    <r>
      <t xml:space="preserve">b) Actos, contratos o negocios jurídicos con cuantía sujetos a registro en las Cámaras de Comercio, </t>
    </r>
    <r>
      <rPr>
        <b/>
        <sz val="12"/>
        <color rgb="FFFF0000"/>
        <rFont val="Arial"/>
        <family val="2"/>
      </rPr>
      <t>que impliquen la constitución con y/o el incremento de la prima en colocación de acciones o cuotas sociales de sociedades, entre el 0.1% Y el 0.2%.</t>
    </r>
  </si>
  <si>
    <r>
      <t xml:space="preserve">PARÁGRAFO SEGUNDO. De conformidad con lo dispuesto en el presente artículo, en concordancia con lo establecido en los artículos 300 numeral 4 y 338 de la Constitución política, </t>
    </r>
    <r>
      <rPr>
        <b/>
        <sz val="12"/>
        <color rgb="FF0066FF"/>
        <rFont val="Arial"/>
        <family val="2"/>
      </rPr>
      <t>a las microempresas definidas en el Decreto 957 de 2019, no se les podrán adicionar sobretasas o recargos de ningún tipo a la tarifa legal vigente del impuesto de registro.</t>
    </r>
  </si>
  <si>
    <r>
      <rPr>
        <b/>
        <sz val="12"/>
        <color theme="1"/>
        <rFont val="Arial"/>
        <family val="2"/>
      </rPr>
      <t>ARTÍCULO 4. CAUSAL DE DISOLUCIÓN POR NO CUMPLIMIENTO DE LA HIPÓTESIS DE NEGOCIO EN MARCHA</t>
    </r>
    <r>
      <rPr>
        <sz val="12"/>
        <color theme="1"/>
        <rFont val="Arial"/>
        <family val="2"/>
      </rPr>
      <t xml:space="preserve">. Constituirá causal de disolución de una sociedad comercial </t>
    </r>
    <r>
      <rPr>
        <b/>
        <sz val="12"/>
        <color rgb="FFFF0000"/>
        <rFont val="Arial"/>
        <family val="2"/>
      </rPr>
      <t>el no cumplimiento de la hipótesis de negocio en marcha al cierre del ejercicio</t>
    </r>
    <r>
      <rPr>
        <sz val="12"/>
        <color theme="1"/>
        <rFont val="Arial"/>
        <family val="2"/>
      </rPr>
      <t>, de conformidad con lo establecido en la normatividad vigente.</t>
    </r>
  </si>
  <si>
    <r>
      <rPr>
        <b/>
        <sz val="12"/>
        <color theme="1"/>
        <rFont val="Arial"/>
        <family val="2"/>
      </rPr>
      <t>PARÁGRAFO PRIMERO.</t>
    </r>
    <r>
      <rPr>
        <sz val="12"/>
        <color theme="1"/>
        <rFont val="Arial"/>
        <family val="2"/>
      </rPr>
      <t xml:space="preserve"> Las menciones realizadas en cualquier norma relativas a la causal de disolución por pérdidas se entenderán referidas a la presente causal. Las obligaciones establecidas en la presente norma serán igualmente exigibles a las sucursales de sociedad extranjera.</t>
    </r>
  </si>
  <si>
    <r>
      <rPr>
        <b/>
        <sz val="12"/>
        <color theme="1"/>
        <rFont val="Arial"/>
        <family val="2"/>
      </rPr>
      <t>"ARTÍCULO 2. ÁMBITO DE APLICACIÓN</t>
    </r>
    <r>
      <rPr>
        <sz val="12"/>
        <color theme="1"/>
        <rFont val="Arial"/>
        <family val="2"/>
      </rPr>
      <t>. La presente ley aplica a todas las personas naturales y jurídicas que, de acuerdo con la normatividad vigente, estén obligadas a llevar contabilidad, así como a los contadores públicos, funcionarios y demás personas encargadas de la preparación de estados financieros y otra información financiera, de su promulqación y asequramiento. En desarrollo de esta ley y en atención al volumen de sus activos, de sus ingresos, al número de sus empleados, a su forma de organización jurídica o de sus circunstancias socioeconómicas, el Gobierno autorizará de manera general que ciertos obligados lleven contabilidad simplificada, emitan estados financieros y revelaciones abreviados o que estos sean objeto de aseguramiento de información de nivel moderado.</t>
    </r>
  </si>
  <si>
    <r>
      <t xml:space="preserve">El Gobierno podrá autorizar que las microempresas lleven contabilidad </t>
    </r>
    <r>
      <rPr>
        <b/>
        <sz val="12"/>
        <color rgb="FFFF0000"/>
        <rFont val="Arial"/>
        <family val="2"/>
      </rPr>
      <t>de acumulación, o de caja, o métodos mixtos</t>
    </r>
    <r>
      <rPr>
        <b/>
        <sz val="12"/>
        <color rgb="FF0066FF"/>
        <rFont val="Arial"/>
        <family val="2"/>
      </rPr>
      <t>, según la realidad de sus operaciones, así como según los criterios enumerados en el párrafo anterior.</t>
    </r>
  </si>
  <si>
    <r>
      <rPr>
        <b/>
        <sz val="12"/>
        <color theme="1"/>
        <rFont val="Arial"/>
        <family val="2"/>
      </rPr>
      <t>PARÁGRAFO PRIMERO</t>
    </r>
    <r>
      <rPr>
        <sz val="12"/>
        <color theme="1"/>
        <rFont val="Arial"/>
        <family val="2"/>
      </rPr>
      <t>. Deberán sujetarse a esta ley y a las normas que se expidan con base en ella, quienes sin estar obligados a observarla pretendan hacer valer su información como prueba."</t>
    </r>
  </si>
  <si>
    <r>
      <t xml:space="preserve">ARTICULO 14. </t>
    </r>
    <r>
      <rPr>
        <b/>
        <sz val="12"/>
        <color rgb="FFFF0000"/>
        <rFont val="Arial"/>
        <family val="2"/>
      </rPr>
      <t>Elimínese del artículo 424 del Estatuto Tributario y adiciónense al artículo 477</t>
    </r>
    <r>
      <rPr>
        <b/>
        <sz val="12"/>
        <color theme="1"/>
        <rFont val="Arial"/>
        <family val="2"/>
      </rPr>
      <t xml:space="preserve"> del Estatuto Tributario los siguientes bienes:</t>
    </r>
  </si>
  <si>
    <r>
      <t>a)  El documento mediante el cual e</t>
    </r>
    <r>
      <rPr>
        <b/>
        <sz val="12"/>
        <color rgb="FFFF0000"/>
        <rFont val="Arial"/>
        <family val="2"/>
      </rPr>
      <t>l representante legal y el contador certifican que los estados financieros remitidos a la entidad cumplen con lo dispuesto en el artículo 37 de la Ley 222 de 1995.</t>
    </r>
    <r>
      <rPr>
        <sz val="12"/>
        <color theme="1"/>
        <rFont val="Arial"/>
        <family val="2"/>
      </rPr>
      <t xml:space="preserve"> Este documento deberá ser suscrito,</t>
    </r>
    <r>
      <rPr>
        <b/>
        <sz val="12"/>
        <color rgb="FF0066FF"/>
        <rFont val="Arial"/>
        <family val="2"/>
      </rPr>
      <t xml:space="preserve"> adicionalmente, por el revisor fiscal que</t>
    </r>
    <r>
      <rPr>
        <sz val="12"/>
        <color theme="1"/>
        <rFont val="Arial"/>
        <family val="2"/>
      </rPr>
      <t xml:space="preserve"> los dictamine en cumplimiento del artículo 38 ibídem.</t>
    </r>
  </si>
  <si>
    <r>
      <t xml:space="preserve">Por la cual se fija el valor de la Unidad de Valor Tributario (UVT) </t>
    </r>
    <r>
      <rPr>
        <sz val="11"/>
        <color rgb="FFFF0000"/>
        <rFont val="Arial"/>
        <family val="2"/>
      </rPr>
      <t>aplicable para el año 2020.</t>
    </r>
  </si>
  <si>
    <r>
      <rPr>
        <b/>
        <sz val="12"/>
        <color theme="1"/>
        <rFont val="Arial"/>
        <family val="2"/>
      </rPr>
      <t>"Artículo 1.2.1.17.20.- Ajuste del costo de los activos fijos</t>
    </r>
    <r>
      <rPr>
        <sz val="12"/>
        <color theme="1"/>
        <rFont val="Arial"/>
        <family val="2"/>
      </rPr>
      <t xml:space="preserve">. Los contribuyentes podrán ajustar el costo de los activos fijos por </t>
    </r>
    <r>
      <rPr>
        <b/>
        <sz val="12"/>
        <color rgb="FFFF0000"/>
        <rFont val="Arial"/>
        <family val="2"/>
      </rPr>
      <t xml:space="preserve">el año gravable 2020, en tres punto noventa por ciento (3.90%), </t>
    </r>
    <r>
      <rPr>
        <sz val="12"/>
        <color theme="1"/>
        <rFont val="Arial"/>
        <family val="2"/>
      </rPr>
      <t>de acuerdo con lo previsto en el artículo 70 del Estatuto Tributario."</t>
    </r>
  </si>
  <si>
    <t>INGR BRUTOS</t>
  </si>
  <si>
    <r>
      <rPr>
        <b/>
        <sz val="12"/>
        <color rgb="FFFF0000"/>
        <rFont val="Arial"/>
        <family val="2"/>
      </rPr>
      <t>2. Declaración y pago cuatrimestral</t>
    </r>
    <r>
      <rPr>
        <sz val="12"/>
        <color theme="1"/>
        <rFont val="Arial"/>
        <family val="2"/>
      </rPr>
      <t xml:space="preserve"> para aquellos responsables de este impuesto, personas jurídicas y naturales cuyos i</t>
    </r>
    <r>
      <rPr>
        <b/>
        <sz val="12"/>
        <color rgb="FF0066FF"/>
        <rFont val="Arial"/>
        <family val="2"/>
      </rPr>
      <t>ngresos brutos a 31 de diciembre del año gravable anterior sean inferiores a noventa y dos mil (92.000) UVT</t>
    </r>
    <r>
      <rPr>
        <sz val="12"/>
        <color theme="1"/>
        <rFont val="Arial"/>
        <family val="2"/>
      </rPr>
      <t>. Los periodos cuatrimestrales serán enero-abril; mayo-agosto; y septiembre-diciembre.</t>
    </r>
  </si>
  <si>
    <r>
      <t xml:space="preserve">6. La firma del Revisor Fiscal cuando se trate de responsables obligados a llevar libros de contabilidad y que de conformidad con el </t>
    </r>
    <r>
      <rPr>
        <b/>
        <sz val="12"/>
        <color rgb="FFFF0000"/>
        <rFont val="Arial"/>
        <family val="2"/>
      </rPr>
      <t>Código de Comercio y demás normas vigentes sobre la materia, estén obligados a tener Revisor Fiscal</t>
    </r>
    <r>
      <rPr>
        <b/>
        <sz val="12"/>
        <color theme="1"/>
        <rFont val="Arial"/>
        <family val="2"/>
      </rPr>
      <t>.</t>
    </r>
  </si>
  <si>
    <t xml:space="preserve">Las utilidades NO gravadas continúan siendo no gravadas </t>
  </si>
  <si>
    <r>
      <t xml:space="preserve">Sin perjuicio de lo anterior, </t>
    </r>
    <r>
      <rPr>
        <b/>
        <sz val="12"/>
        <color rgb="FF0066FF"/>
        <rFont val="Arial"/>
        <family val="2"/>
      </rPr>
      <t xml:space="preserve">los administradores sociales deberán convocar al máximo órgano social de manera inmediata, cuando del análisis de los estados financieros y las proyecciones de la empresa se puedan establecer deterioros patrimoniales y riesgos de insolvencia, </t>
    </r>
    <r>
      <rPr>
        <b/>
        <sz val="12"/>
        <color theme="1"/>
        <rFont val="Arial"/>
        <family val="2"/>
      </rPr>
      <t>so pena de responder solidariamente</t>
    </r>
    <r>
      <rPr>
        <sz val="12"/>
        <color theme="1"/>
        <rFont val="Arial"/>
        <family val="2"/>
      </rPr>
      <t xml:space="preserve"> por los perjuicios que causen a los asociados o a terceros por el incumplimiento de este deber. </t>
    </r>
    <r>
      <rPr>
        <b/>
        <sz val="12"/>
        <color rgb="FFFF0000"/>
        <rFont val="Arial"/>
        <family val="2"/>
      </rPr>
      <t>El Gobierno nacional podrá establecer en el reglamento las razones financieras o criterios para el efecto.</t>
    </r>
  </si>
  <si>
    <r>
      <rPr>
        <b/>
        <sz val="12"/>
        <color theme="1"/>
        <rFont val="Arial"/>
        <family val="2"/>
      </rPr>
      <t>Ley 2010 de 2019.- Artículo 42°, Modifíquense el inciso primero y la tabla de retención en la fuente del artículo 383 del Estatuto Tributario, los cuales quedarán así:</t>
    </r>
    <r>
      <rPr>
        <sz val="12"/>
        <color theme="1"/>
        <rFont val="Arial"/>
        <family val="2"/>
      </rPr>
      <t xml:space="preserve">
ARTíCULO 383. TARIFA. La retención en la fuente </t>
    </r>
    <r>
      <rPr>
        <b/>
        <sz val="12"/>
        <color rgb="FFFF0000"/>
        <rFont val="Arial"/>
        <family val="2"/>
      </rPr>
      <t>aplicable a los pagos gravables</t>
    </r>
    <r>
      <rPr>
        <sz val="12"/>
        <color theme="1"/>
        <rFont val="Arial"/>
        <family val="2"/>
      </rPr>
      <t xml:space="preserve"> efectuados por las personas naturales o jurídicas, las sociedades de hecho, las comunidades organizadas y las sucesiones ilíquidas, </t>
    </r>
    <r>
      <rPr>
        <b/>
        <sz val="12"/>
        <color rgb="FF0066FF"/>
        <rFont val="Arial"/>
        <family val="2"/>
      </rPr>
      <t>originados en la relación laboral, o legal y reglamentaria,</t>
    </r>
    <r>
      <rPr>
        <sz val="12"/>
        <color theme="1"/>
        <rFont val="Arial"/>
        <family val="2"/>
      </rPr>
      <t xml:space="preserve"> y los pagos recibidos por concepto de pensiones de jubilación, invalidez, vejez, de sobrevivientes y sobre riesgos ' laborales, será la que resulte de aplicar a dichos pagos la siguiente tabla de retención en la fuente:</t>
    </r>
  </si>
  <si>
    <r>
      <t xml:space="preserve">Pagos o abonos en cuenta por concepto de rendimientos financieros, realizados a personas no residentes o no domiciliadas en el país, originados en </t>
    </r>
    <r>
      <rPr>
        <sz val="12"/>
        <color rgb="FFFF0000"/>
        <rFont val="Arial"/>
        <family val="2"/>
      </rPr>
      <t xml:space="preserve">créditos obtenidos en el exterior por término igual o superior a un (1) año o por concepto de intereses o </t>
    </r>
    <r>
      <rPr>
        <sz val="12"/>
        <color rgb="FF000000"/>
        <rFont val="Arial"/>
        <family val="2"/>
      </rPr>
      <t>costos financieros del canon de arrendamiento originados en contratos de leasing que se celebre directamente o a través de compañías de leasing con empresas extranjeras sin domicilio en Colombia,</t>
    </r>
  </si>
  <si>
    <r>
      <rPr>
        <b/>
        <sz val="12"/>
        <color theme="1"/>
        <rFont val="Arial"/>
        <family val="2"/>
      </rPr>
      <t>“Artículo 868</t>
    </r>
    <r>
      <rPr>
        <sz val="12"/>
        <color theme="1"/>
        <rFont val="Arial"/>
        <family val="2"/>
      </rPr>
      <t xml:space="preserve">. Unidad de Valor Tributario (UVT). Con el fin de unificar y facilitar el cumplimiento de las obligaciones tributarias </t>
    </r>
    <r>
      <rPr>
        <b/>
        <sz val="12"/>
        <color rgb="FFFF0000"/>
        <rFont val="Arial"/>
        <family val="2"/>
      </rPr>
      <t>se crea la unidad de valor tributario (UVT). La UVT</t>
    </r>
    <r>
      <rPr>
        <sz val="12"/>
        <color theme="1"/>
        <rFont val="Arial"/>
        <family val="2"/>
      </rPr>
      <t xml:space="preserve"> es la medida de valor que permite ajustar los valores contenidos en las disposiciones relativas a los impuestos y obligaciones administrados por la Dirección de Impuestos y Aduanas Nacionales</t>
    </r>
  </si>
  <si>
    <r>
      <t xml:space="preserve">Los pagos efectuados por contratos de prestación de servicios a empresas de </t>
    </r>
    <r>
      <rPr>
        <b/>
        <sz val="11"/>
        <color rgb="FFFF0000"/>
        <rFont val="Arial"/>
        <family val="2"/>
      </rPr>
      <t>medicina prepagada vigiladas por la Superintendencia Nacional de Salud</t>
    </r>
    <r>
      <rPr>
        <sz val="11"/>
        <color rgb="FF000000"/>
        <rFont val="Arial"/>
        <family val="2"/>
      </rPr>
      <t>, que impliquen protección al trabajador, su cónyuge, sus hijos y/o dependientes</t>
    </r>
  </si>
  <si>
    <r>
      <t xml:space="preserve">Pagos o abonos en cuenta por concepto de rendimientos financieros o intereses, realizados a personas no residentes o no domiciliadas en el país, originados en créditos o valores de contenido crediticio, por término </t>
    </r>
    <r>
      <rPr>
        <b/>
        <sz val="12"/>
        <color theme="1"/>
        <rFont val="Arial"/>
        <family val="2"/>
      </rPr>
      <t>igual o superior a ocho (8) años,</t>
    </r>
    <r>
      <rPr>
        <sz val="12"/>
        <color rgb="FF000000"/>
        <rFont val="Arial"/>
        <family val="2"/>
      </rPr>
      <t xml:space="preserve"> destinados a la financiación de proyectos de infraestructura bajo el esquema de Asociaciones Público- Privadas en el marco de la Ley 1508 de 2012.</t>
    </r>
  </si>
  <si>
    <r>
      <rPr>
        <b/>
        <sz val="12"/>
        <color theme="1"/>
        <rFont val="Arial"/>
        <family val="2"/>
      </rPr>
      <t>Parágrafo 4°</t>
    </r>
    <r>
      <rPr>
        <sz val="12"/>
        <color theme="1"/>
        <rFont val="Arial"/>
        <family val="2"/>
      </rPr>
      <t>. La tarifa del impuesto sobre la renta y complementarios aplicable a las empresas editoriales constituidas en Colombia como personas jurídicas, cuya actividad económica y objeto social sea exclusivamente la edición de libros, revistas, folletos o coleccionables seriados de carácter científico o cultural, en los términos de la Ley 98 de 1993, será del</t>
    </r>
    <r>
      <rPr>
        <b/>
        <sz val="12"/>
        <color theme="1"/>
        <rFont val="Arial"/>
        <family val="2"/>
      </rPr>
      <t xml:space="preserve"> 9%</t>
    </r>
    <r>
      <rPr>
        <sz val="12"/>
        <color theme="1"/>
        <rFont val="Arial"/>
        <family val="2"/>
      </rPr>
      <t>.</t>
    </r>
  </si>
  <si>
    <r>
      <t xml:space="preserve">a. Servicios prestados en nuevos hoteles que se construyan en municipios </t>
    </r>
    <r>
      <rPr>
        <b/>
        <sz val="12"/>
        <color rgb="FFFF0000"/>
        <rFont val="Arial"/>
        <family val="2"/>
      </rPr>
      <t>de hasta doscientos mil habitantes</t>
    </r>
    <r>
      <rPr>
        <sz val="12"/>
        <color theme="1"/>
        <rFont val="Arial"/>
        <family val="2"/>
      </rPr>
      <t xml:space="preserve">, tal y como lo certifique la autoridad competente a 31 de diciembre de 2016, dentro de los diez (10) años siguientes a partir de la entrada en vigencia de la Ley 1943 de 2018, </t>
    </r>
    <r>
      <rPr>
        <b/>
        <sz val="12"/>
        <rFont val="Arial"/>
        <family val="2"/>
      </rPr>
      <t>por un término de 20 años</t>
    </r>
    <r>
      <rPr>
        <sz val="12"/>
        <color theme="1"/>
        <rFont val="Arial"/>
        <family val="2"/>
      </rPr>
      <t xml:space="preserve"> ;</t>
    </r>
  </si>
  <si>
    <r>
      <t xml:space="preserve">b. Servicios prestados en hoteles que se remodelen y/o amplíen en municipios </t>
    </r>
    <r>
      <rPr>
        <b/>
        <sz val="12"/>
        <color rgb="FFFF0000"/>
        <rFont val="Arial"/>
        <family val="2"/>
      </rPr>
      <t>de hasta doscientos mil habitantes</t>
    </r>
    <r>
      <rPr>
        <sz val="12"/>
        <color theme="1"/>
        <rFont val="Arial"/>
        <family val="2"/>
      </rPr>
      <t>, tal y como lo certifique la autoridad competente a 31 de diciembre de 2016, dentro de los diez (10)años siguientes a la entrada en vigencia de la Ley 1943 de 2018, por</t>
    </r>
    <r>
      <rPr>
        <b/>
        <sz val="12"/>
        <color theme="1"/>
        <rFont val="Arial"/>
        <family val="2"/>
      </rPr>
      <t xml:space="preserve"> un término de 20 años</t>
    </r>
  </si>
  <si>
    <r>
      <t xml:space="preserve">c. A partir del 1 de enero de 2019, servicios prestados </t>
    </r>
    <r>
      <rPr>
        <b/>
        <sz val="12"/>
        <color rgb="FFFF0000"/>
        <rFont val="Arial"/>
        <family val="2"/>
      </rPr>
      <t>en nuevos hoteles que se construyan en municipios de igual o superior a doscientos mil habitantes,</t>
    </r>
    <r>
      <rPr>
        <sz val="12"/>
        <color theme="1"/>
        <rFont val="Arial"/>
        <family val="2"/>
      </rPr>
      <t xml:space="preserve"> tal y como lo certifique la autoridad competente a 31 de diciembre de 2018, dentro de los cuatro (4) años siguientes a partir de la entrada en vigencia de la Ley 1943 de 2018, </t>
    </r>
    <r>
      <rPr>
        <b/>
        <sz val="12"/>
        <color theme="1"/>
        <rFont val="Arial"/>
        <family val="2"/>
      </rPr>
      <t>por un término de diez (10) años</t>
    </r>
  </si>
  <si>
    <r>
      <t xml:space="preserve">1. Poseer patrimonio y haber obtenido en el respectivo año gravable ingresos en el país sobre los cuales se haya practicado retención en la fuente según los conceptos previstos en los artículos </t>
    </r>
    <r>
      <rPr>
        <b/>
        <sz val="12"/>
        <color rgb="FFFF0000"/>
        <rFont val="Arial"/>
        <family val="2"/>
      </rPr>
      <t>407 a 411 del E.T.</t>
    </r>
  </si>
  <si>
    <r>
      <t>PARÁGRAFO 2o. </t>
    </r>
    <r>
      <rPr>
        <b/>
        <sz val="12"/>
        <color rgb="FFFF0000"/>
        <rFont val="Arial"/>
        <family val="2"/>
      </rPr>
      <t>La retención en la fuente establecida en el presente artículo</t>
    </r>
    <r>
      <rPr>
        <sz val="12"/>
        <color rgb="FF000000"/>
        <rFont val="Arial"/>
        <family val="2"/>
      </rPr>
      <t xml:space="preserve"> </t>
    </r>
    <r>
      <rPr>
        <b/>
        <sz val="12"/>
        <color theme="8" tint="-0.249977111117893"/>
        <rFont val="Arial"/>
        <family val="2"/>
      </rPr>
      <t xml:space="preserve">será aplicable a los pagos o abonos en cuenta por concepto de </t>
    </r>
    <r>
      <rPr>
        <b/>
        <sz val="12"/>
        <color rgb="FF0066FF"/>
        <rFont val="Arial"/>
        <family val="2"/>
      </rPr>
      <t>ingresos por honorarios</t>
    </r>
    <r>
      <rPr>
        <b/>
        <sz val="12"/>
        <color theme="8" tint="-0.249977111117893"/>
        <rFont val="Arial"/>
        <family val="2"/>
      </rPr>
      <t xml:space="preserve"> y por </t>
    </r>
    <r>
      <rPr>
        <b/>
        <sz val="12"/>
        <color rgb="FF0066FF"/>
        <rFont val="Arial"/>
        <family val="2"/>
      </rPr>
      <t>compensación</t>
    </r>
    <r>
      <rPr>
        <b/>
        <sz val="12"/>
        <color theme="8" tint="-0.249977111117893"/>
        <rFont val="Arial"/>
        <family val="2"/>
      </rPr>
      <t xml:space="preserve"> por </t>
    </r>
    <r>
      <rPr>
        <b/>
        <u/>
        <sz val="12"/>
        <color rgb="FF0066CC"/>
        <rFont val="Arial"/>
        <family val="2"/>
      </rPr>
      <t>servicios personales</t>
    </r>
    <r>
      <rPr>
        <sz val="12"/>
        <color rgb="FF000000"/>
        <rFont val="Arial"/>
        <family val="2"/>
      </rPr>
      <t xml:space="preserve"> </t>
    </r>
    <r>
      <rPr>
        <b/>
        <sz val="12"/>
        <color theme="1"/>
        <rFont val="Arial"/>
        <family val="2"/>
      </rPr>
      <t xml:space="preserve">obtenidos por las personas que </t>
    </r>
    <r>
      <rPr>
        <b/>
        <sz val="12"/>
        <color rgb="FFFF0000"/>
        <rFont val="Arial"/>
        <family val="2"/>
      </rPr>
      <t>informen</t>
    </r>
    <r>
      <rPr>
        <b/>
        <sz val="12"/>
        <color theme="1"/>
        <rFont val="Arial"/>
        <family val="2"/>
      </rPr>
      <t xml:space="preserve"> que </t>
    </r>
    <r>
      <rPr>
        <b/>
        <sz val="12"/>
        <color rgb="FFFF0000"/>
        <rFont val="Arial"/>
        <family val="2"/>
      </rPr>
      <t>no han contratado o vinculado</t>
    </r>
    <r>
      <rPr>
        <b/>
        <sz val="12"/>
        <color theme="1"/>
        <rFont val="Arial"/>
        <family val="2"/>
      </rPr>
      <t xml:space="preserve"> dos (2) o más trabajadores asociados a la actividad</t>
    </r>
    <r>
      <rPr>
        <sz val="12"/>
        <color rgb="FF000000"/>
        <rFont val="Arial"/>
        <family val="2"/>
      </rPr>
      <t>.</t>
    </r>
  </si>
  <si>
    <r>
      <t xml:space="preserve">Pagos o abonos en cuenta por concepto de </t>
    </r>
    <r>
      <rPr>
        <b/>
        <sz val="12"/>
        <color rgb="FFFF0000"/>
        <rFont val="Arial"/>
        <family val="2"/>
      </rPr>
      <t>intereses, comisiones, honorarios, regalías, arrendamientos, compensaciones por servicios personales, o explotación de toda especie de propiedad industrial o del know-how, prestación de servicios, beneficios o regalías provenientes de la propiedad literaria, artística y científica, explotación de películas cinematográficas y explotación de software</t>
    </r>
    <r>
      <rPr>
        <b/>
        <sz val="12"/>
        <color theme="1"/>
        <rFont val="Arial"/>
        <family val="2"/>
      </rPr>
      <t>.</t>
    </r>
  </si>
  <si>
    <r>
      <rPr>
        <b/>
        <sz val="12"/>
        <color rgb="FFFF0000"/>
        <rFont val="Arial"/>
        <family val="2"/>
      </rPr>
      <t>Artículo modificado por el artículo 28 de la Ley 2010 de 2019.- No serán responsables del Impuesto Nacional al Consumo</t>
    </r>
    <r>
      <rPr>
        <sz val="12"/>
        <color theme="1"/>
        <rFont val="Arial"/>
        <family val="2"/>
      </rPr>
      <t xml:space="preserve"> de restaurantes y bares a que hace referencia el numeral 3 del artículo 512-1 de este Estatuto,</t>
    </r>
    <r>
      <rPr>
        <b/>
        <sz val="12"/>
        <color rgb="FF0066FF"/>
        <rFont val="Arial"/>
        <family val="2"/>
      </rPr>
      <t xml:space="preserve"> las personas naturales </t>
    </r>
    <r>
      <rPr>
        <sz val="12"/>
        <color theme="1"/>
        <rFont val="Arial"/>
        <family val="2"/>
      </rPr>
      <t>que cumplan la totalidad de las siguientes condiciones</t>
    </r>
  </si>
  <si>
    <r>
      <rPr>
        <b/>
        <sz val="12"/>
        <color theme="1"/>
        <rFont val="Arial"/>
        <family val="2"/>
      </rPr>
      <t>b)</t>
    </r>
    <r>
      <rPr>
        <sz val="12"/>
        <color theme="1"/>
        <rFont val="Arial"/>
        <family val="2"/>
      </rPr>
      <t xml:space="preserve"> Las </t>
    </r>
    <r>
      <rPr>
        <b/>
        <sz val="12"/>
        <color rgb="FFFF0000"/>
        <rFont val="Arial"/>
        <family val="2"/>
      </rPr>
      <t>personas naturales y sucesiones ilíquidas que no sean responsables del impuesto sobre las ventas -IV</t>
    </r>
    <r>
      <rPr>
        <sz val="12"/>
        <color theme="1"/>
        <rFont val="Arial"/>
        <family val="2"/>
      </rPr>
      <t>A, residentes en el país, siempre y cuando, en relación con el año 2020 cumplan la totalidad de los siguientes requisitos:</t>
    </r>
  </si>
  <si>
    <r>
      <t>Cuando se pueda verificar razonablemente su acaecimiento, los administradores sociales se abstendrán de iniciar nuevas operaciones, distintas a las del giro ordinario de los negocios, y convocarán inmediatamente a la asamblea ~eneral de accionistas o a la junta de socios para informar completa y documentadamente dicha situación, con el fin de que el máximo órgano social adopte las decisiones pertinentes respecto a la continuidad o la disolución y liquidación de la sociedad, s</t>
    </r>
    <r>
      <rPr>
        <b/>
        <sz val="12"/>
        <color rgb="FFFF0000"/>
        <rFont val="Arial"/>
        <family val="2"/>
      </rPr>
      <t>o pena de responder solidariamente por los perjuicios que causen a los asociados o a terceros por el incumplimiento de este deber.</t>
    </r>
  </si>
  <si>
    <r>
      <t xml:space="preserve">Que de acuerdo con la Certificación 147022 del 18 de noviembre de 2020, expedida por el Departamento Administrativo Nacional de Estadística –DANE, la variación acumulada del índice de precios al consumidor para “clase media” en el periodo comprendido </t>
    </r>
    <r>
      <rPr>
        <b/>
        <sz val="12"/>
        <color rgb="FFFF0000"/>
        <rFont val="Arial"/>
        <family val="2"/>
      </rPr>
      <t>entre el 1º de octubre de 2019 y el 1º de octubre de 2020</t>
    </r>
    <r>
      <rPr>
        <sz val="12"/>
        <color theme="1"/>
        <rFont val="Arial"/>
        <family val="2"/>
      </rPr>
      <t>,</t>
    </r>
    <r>
      <rPr>
        <b/>
        <sz val="12"/>
        <color rgb="FFFF0000"/>
        <rFont val="Arial"/>
        <family val="2"/>
      </rPr>
      <t xml:space="preserve">                     fue de 1,97%</t>
    </r>
    <r>
      <rPr>
        <sz val="12"/>
        <color theme="1"/>
        <rFont val="Arial"/>
        <family val="2"/>
      </rPr>
      <t>.</t>
    </r>
  </si>
  <si>
    <r>
      <rPr>
        <b/>
        <sz val="12"/>
        <color theme="1"/>
        <rFont val="Arial"/>
        <family val="2"/>
      </rPr>
      <t>"Artículo 1.2.1.17.21.- Costo fiscal para determinar la renta o ganancia ocasional.</t>
    </r>
    <r>
      <rPr>
        <sz val="12"/>
        <color theme="1"/>
        <rFont val="Arial"/>
        <family val="2"/>
      </rPr>
      <t xml:space="preserve"> Para efectos de </t>
    </r>
    <r>
      <rPr>
        <b/>
        <sz val="12"/>
        <color rgb="FF0066CC"/>
        <rFont val="Arial"/>
        <family val="2"/>
      </rPr>
      <t>determinar la renta o ganancia ocasional,</t>
    </r>
    <r>
      <rPr>
        <sz val="12"/>
        <color theme="1"/>
        <rFont val="Arial"/>
        <family val="2"/>
      </rPr>
      <t xml:space="preserve"> según el caso, proveniente de la </t>
    </r>
    <r>
      <rPr>
        <b/>
        <sz val="12"/>
        <color rgb="FFFF0000"/>
        <rFont val="Arial"/>
        <family val="2"/>
      </rPr>
      <t>enajenación</t>
    </r>
    <r>
      <rPr>
        <sz val="12"/>
        <color theme="1"/>
        <rFont val="Arial"/>
        <family val="2"/>
      </rPr>
      <t xml:space="preserve"> durante el año gravable 2020, de bienes raíces y de acciones o aportes que tengan el </t>
    </r>
    <r>
      <rPr>
        <b/>
        <sz val="12"/>
        <color rgb="FFFF0000"/>
        <rFont val="Arial"/>
        <family val="2"/>
      </rPr>
      <t>carácter de activos fijos</t>
    </r>
    <r>
      <rPr>
        <sz val="12"/>
        <color theme="1"/>
        <rFont val="Arial"/>
        <family val="2"/>
      </rPr>
      <t xml:space="preserve">, los contribuyentes que </t>
    </r>
    <r>
      <rPr>
        <b/>
        <sz val="12"/>
        <color rgb="FFFF0000"/>
        <rFont val="Arial"/>
        <family val="2"/>
      </rPr>
      <t>sean personas naturales</t>
    </r>
    <r>
      <rPr>
        <sz val="12"/>
        <color theme="1"/>
        <rFont val="Arial"/>
        <family val="2"/>
      </rPr>
      <t xml:space="preserve"> podrán tomar como costo fiscal cualquiera de los siguientes valores: </t>
    </r>
  </si>
  <si>
    <r>
      <rPr>
        <b/>
        <sz val="10"/>
        <color theme="1"/>
        <rFont val="Arial"/>
        <family val="2"/>
      </rPr>
      <t>Ley 2010 de 2019.- Artículo 31°. Modifíquese el artículo 55 del Estatuto Tributario, el cual quedará así:</t>
    </r>
    <r>
      <rPr>
        <sz val="10"/>
        <color theme="1"/>
        <rFont val="Arial"/>
        <family val="2"/>
      </rPr>
      <t xml:space="preserve">
ARTíCULO 55. </t>
    </r>
    <r>
      <rPr>
        <b/>
        <sz val="10"/>
        <color theme="5" tint="-0.249977111117893"/>
        <rFont val="Arial"/>
        <family val="2"/>
      </rPr>
      <t>Aportes Obligatorios al sistema general de pensiones.</t>
    </r>
    <r>
      <rPr>
        <sz val="10"/>
        <color theme="1"/>
        <rFont val="Arial"/>
        <family val="2"/>
      </rPr>
      <t xml:space="preserve"> Los aportes obligatorios que efectúen los trabajadores, empleadores y afiliados al Sistema General de Seguridad Social en Pensiones </t>
    </r>
    <r>
      <rPr>
        <b/>
        <u/>
        <sz val="10"/>
        <color rgb="FF3149F7"/>
        <rFont val="Arial"/>
        <family val="2"/>
      </rPr>
      <t xml:space="preserve">no harán parte de la base para aplicar la retención en la fuente </t>
    </r>
    <r>
      <rPr>
        <b/>
        <sz val="10"/>
        <color rgb="FF3149F7"/>
        <rFont val="Arial"/>
        <family val="2"/>
      </rPr>
      <t>por rentas de trabajo y serán considerados como un ingreso no constitutivo de renta ni de ganancia ocasional</t>
    </r>
    <r>
      <rPr>
        <sz val="10"/>
        <color theme="1"/>
        <rFont val="Arial"/>
        <family val="2"/>
      </rPr>
      <t xml:space="preserve">. Los aportes a cargo del empleador serán deducibles de su renta. </t>
    </r>
    <r>
      <rPr>
        <sz val="10"/>
        <color rgb="FFFF0000"/>
        <rFont val="Arial"/>
        <family val="2"/>
      </rPr>
      <t>Las cotizaciones voluntarias al régimen de ahorro individual con solidaridad son un ingreso no constitutivo de renta ni de ganancia ocasional para el aportante, en un porcentaje que no exceda el veinticinco por ciento (25%) del ingreso laboral o tributario anual, limitado a 2.500 UVT.</t>
    </r>
  </si>
  <si>
    <r>
      <rPr>
        <b/>
        <sz val="12"/>
        <color rgb="FFFF0000"/>
        <rFont val="Arial"/>
        <family val="2"/>
      </rPr>
      <t>PARÁGRAFO 3. Deberán registrarse como responsables del IVA</t>
    </r>
    <r>
      <rPr>
        <sz val="12"/>
        <color rgb="FFFF0000"/>
        <rFont val="Arial"/>
        <family val="2"/>
      </rPr>
      <t xml:space="preserve"> </t>
    </r>
    <r>
      <rPr>
        <b/>
        <sz val="12"/>
        <color rgb="FFFF0000"/>
        <rFont val="Arial"/>
        <family val="2"/>
      </rPr>
      <t>quienes realicen actividades gravadas con el impuesto</t>
    </r>
    <r>
      <rPr>
        <sz val="12"/>
        <color theme="1"/>
        <rFont val="Arial"/>
        <family val="2"/>
      </rPr>
      <t xml:space="preserve">, </t>
    </r>
    <r>
      <rPr>
        <b/>
        <sz val="12"/>
        <color rgb="FF0066FF"/>
        <rFont val="Arial"/>
        <family val="2"/>
      </rPr>
      <t>con excepción de las personas naturales comerciantes y los artesanos, que sean minoristas o detallistas, los pequeños agricultores y los ganaderos, así como quienes presten servicios</t>
    </r>
    <r>
      <rPr>
        <sz val="12"/>
        <color theme="1"/>
        <rFont val="Arial"/>
        <family val="2"/>
      </rPr>
      <t>,</t>
    </r>
    <r>
      <rPr>
        <b/>
        <sz val="12"/>
        <color theme="1"/>
        <rFont val="Arial"/>
        <family val="2"/>
      </rPr>
      <t xml:space="preserve"> siempre y cuando cumplan la totalidad de las siguientes condiciones:</t>
    </r>
  </si>
  <si>
    <r>
      <t xml:space="preserve">5.- Que no hayan celebrado en el </t>
    </r>
    <r>
      <rPr>
        <b/>
        <sz val="12"/>
        <color rgb="FF0066FF"/>
        <rFont val="Arial"/>
        <family val="2"/>
      </rPr>
      <t>año inmediatamente anterior</t>
    </r>
    <r>
      <rPr>
        <sz val="12"/>
        <color theme="1"/>
        <rFont val="Arial"/>
        <family val="2"/>
      </rPr>
      <t xml:space="preserve"> ni en </t>
    </r>
    <r>
      <rPr>
        <b/>
        <sz val="12"/>
        <color rgb="FFFF0000"/>
        <rFont val="Arial"/>
        <family val="2"/>
      </rPr>
      <t xml:space="preserve">el año en curso </t>
    </r>
    <r>
      <rPr>
        <sz val="12"/>
        <color theme="1"/>
        <rFont val="Arial"/>
        <family val="2"/>
      </rPr>
      <t xml:space="preserve">contratos de venta de bienes y/o prestación de servicios gravados por </t>
    </r>
    <r>
      <rPr>
        <b/>
        <sz val="12"/>
        <color rgb="FFFF0000"/>
        <rFont val="Arial"/>
        <family val="2"/>
      </rPr>
      <t>valor individual, igual o superior a 3.500 UVT</t>
    </r>
  </si>
  <si>
    <r>
      <rPr>
        <b/>
        <sz val="12"/>
        <color theme="1"/>
        <rFont val="Arial"/>
        <family val="2"/>
      </rPr>
      <t>Parágrafo 5</t>
    </r>
    <r>
      <rPr>
        <sz val="12"/>
        <color theme="1"/>
        <rFont val="Arial"/>
        <family val="2"/>
      </rPr>
      <t xml:space="preserve">.- Parágrafo adicionado por el artículo 4 de la Ley 2010 de 2019. El nuevo texto es el siguiente: Los límites de que trata el parágrafo 3 de este artículo </t>
    </r>
    <r>
      <rPr>
        <b/>
        <sz val="12"/>
        <color rgb="FFFF0000"/>
        <rFont val="Arial"/>
        <family val="2"/>
      </rPr>
      <t>serán 4.000 UVT para aquellos prestadores de servicios personas naturales que derivan sus ingresos de contratos con el Estado.</t>
    </r>
  </si>
  <si>
    <r>
      <rPr>
        <b/>
        <sz val="12"/>
        <color rgb="FF0066FF"/>
        <rFont val="Arial"/>
        <family val="2"/>
      </rPr>
      <t>Ley 43 de 1990, Art 13.- Parágrafo 2o</t>
    </r>
    <r>
      <rPr>
        <sz val="12"/>
        <color theme="1"/>
        <rFont val="Arial"/>
        <family val="2"/>
      </rPr>
      <t>. Será obligatorio tener </t>
    </r>
    <r>
      <rPr>
        <b/>
        <sz val="12"/>
        <color rgb="FFFF0000"/>
        <rFont val="Arial"/>
        <family val="2"/>
      </rPr>
      <t xml:space="preserve"> revisor  fiscal </t>
    </r>
    <r>
      <rPr>
        <sz val="12"/>
        <color theme="1"/>
        <rFont val="Arial"/>
        <family val="2"/>
      </rPr>
      <t>en todas </t>
    </r>
    <r>
      <rPr>
        <b/>
        <sz val="12"/>
        <color rgb="FFFF0000"/>
        <rFont val="Arial"/>
        <family val="2"/>
      </rPr>
      <t xml:space="preserve"> las sociedades comerciales, de cualquier naturaleza</t>
    </r>
    <r>
      <rPr>
        <sz val="12"/>
        <color theme="1"/>
        <rFont val="Arial"/>
        <family val="2"/>
      </rPr>
      <t>,</t>
    </r>
    <r>
      <rPr>
        <b/>
        <sz val="12"/>
        <color rgb="FF0066FF"/>
        <rFont val="Arial"/>
        <family val="2"/>
      </rPr>
      <t xml:space="preserve"> cuyos activos brutos al 31 de diciembre del año inmediatamente</t>
    </r>
    <r>
      <rPr>
        <sz val="12"/>
        <color theme="1"/>
        <rFont val="Arial"/>
        <family val="2"/>
      </rPr>
      <t xml:space="preserve"> anterior  sean o excedan el equivalente de </t>
    </r>
    <r>
      <rPr>
        <b/>
        <sz val="12"/>
        <color rgb="FFFF0000"/>
        <rFont val="Arial"/>
        <family val="2"/>
      </rPr>
      <t>cinco mi</t>
    </r>
    <r>
      <rPr>
        <sz val="12"/>
        <color theme="1"/>
        <rFont val="Arial"/>
        <family val="2"/>
      </rPr>
      <t>l</t>
    </r>
    <r>
      <rPr>
        <b/>
        <sz val="12"/>
        <color rgb="FFFF0000"/>
        <rFont val="Arial"/>
        <family val="2"/>
      </rPr>
      <t xml:space="preserve"> salarios mínimos</t>
    </r>
    <r>
      <rPr>
        <sz val="12"/>
        <color theme="1"/>
        <rFont val="Arial"/>
        <family val="2"/>
      </rPr>
      <t xml:space="preserve"> y/o cuyos </t>
    </r>
    <r>
      <rPr>
        <b/>
        <sz val="12"/>
        <color rgb="FF0066FF"/>
        <rFont val="Arial"/>
        <family val="2"/>
      </rPr>
      <t>ingresos brutos durante el año inmediatamente anterior</t>
    </r>
    <r>
      <rPr>
        <sz val="12"/>
        <color theme="1"/>
        <rFont val="Arial"/>
        <family val="2"/>
      </rPr>
      <t xml:space="preserve"> sean o excedan al equivalente a </t>
    </r>
    <r>
      <rPr>
        <b/>
        <sz val="12"/>
        <color rgb="FFFF0000"/>
        <rFont val="Arial"/>
        <family val="2"/>
      </rPr>
      <t>tres mil salarios mínimos</t>
    </r>
    <r>
      <rPr>
        <sz val="12"/>
        <color theme="1"/>
        <rFont val="Arial"/>
        <family val="2"/>
      </rPr>
      <t>.</t>
    </r>
  </si>
  <si>
    <r>
      <t>PAR 2. </t>
    </r>
    <r>
      <rPr>
        <sz val="11"/>
        <color rgb="FF000000"/>
        <rFont val="Arial"/>
        <family val="2"/>
      </rPr>
      <t>Cuando el impuesto neto sobre la renta de la declaración correspondiente al año gravable frente al cual debe cumplirse e</t>
    </r>
    <r>
      <rPr>
        <b/>
        <sz val="11"/>
        <color theme="1"/>
        <rFont val="Arial"/>
        <family val="2"/>
      </rPr>
      <t xml:space="preserve">l requisito del incremento, ea inferior a 71 UVT, </t>
    </r>
    <r>
      <rPr>
        <sz val="11"/>
        <color rgb="FF000000"/>
        <rFont val="Arial"/>
        <family val="2"/>
      </rPr>
      <t>no procederá la aplicación del beneficio de auditoría.</t>
    </r>
  </si>
  <si>
    <r>
      <t>Los demás responsables y agentes retenedores</t>
    </r>
    <r>
      <rPr>
        <b/>
        <sz val="12"/>
        <color rgb="FFFF0000"/>
        <rFont val="Arial"/>
        <family val="2"/>
      </rPr>
      <t xml:space="preserve"> obligados a llevar libros de contabilidad</t>
    </r>
    <r>
      <rPr>
        <sz val="12"/>
        <color theme="1"/>
        <rFont val="Arial"/>
        <family val="2"/>
      </rPr>
      <t xml:space="preserve">, </t>
    </r>
    <r>
      <rPr>
        <sz val="12"/>
        <color rgb="FF0066FF"/>
        <rFont val="Arial"/>
        <family val="2"/>
      </rPr>
      <t>deberán presentar la</t>
    </r>
    <r>
      <rPr>
        <b/>
        <sz val="12"/>
        <color theme="1"/>
        <rFont val="Arial"/>
        <family val="2"/>
      </rPr>
      <t xml:space="preserve"> declaración del impuesto sobre las ventas</t>
    </r>
    <r>
      <rPr>
        <sz val="12"/>
        <color rgb="FF0066FF"/>
        <rFont val="Arial"/>
        <family val="2"/>
      </rPr>
      <t xml:space="preserve"> o la </t>
    </r>
    <r>
      <rPr>
        <b/>
        <sz val="12"/>
        <color theme="1"/>
        <rFont val="Arial"/>
        <family val="2"/>
      </rPr>
      <t xml:space="preserve">declaración mensual </t>
    </r>
    <r>
      <rPr>
        <sz val="12"/>
        <color rgb="FF0066FF"/>
        <rFont val="Arial"/>
        <family val="2"/>
      </rPr>
      <t>de retención en la fuente</t>
    </r>
    <r>
      <rPr>
        <sz val="12"/>
        <color theme="1"/>
        <rFont val="Arial"/>
        <family val="2"/>
      </rPr>
      <t xml:space="preserve">, según sea el caso, firmada por </t>
    </r>
    <r>
      <rPr>
        <b/>
        <sz val="12"/>
        <color theme="9" tint="-0.499984740745262"/>
        <rFont val="Arial"/>
        <family val="2"/>
      </rPr>
      <t>contador público</t>
    </r>
    <r>
      <rPr>
        <sz val="12"/>
        <color theme="1"/>
        <rFont val="Arial"/>
        <family val="2"/>
      </rPr>
      <t>, vinculado o no laboralmente a la empresa,</t>
    </r>
    <r>
      <rPr>
        <b/>
        <sz val="12"/>
        <color rgb="FFFF0000"/>
        <rFont val="Arial"/>
        <family val="2"/>
      </rPr>
      <t xml:space="preserve"> cuando el </t>
    </r>
    <r>
      <rPr>
        <b/>
        <u/>
        <sz val="12"/>
        <color rgb="FFFF0000"/>
        <rFont val="Arial"/>
        <family val="2"/>
      </rPr>
      <t xml:space="preserve">patrimonio bruto </t>
    </r>
    <r>
      <rPr>
        <b/>
        <sz val="12"/>
        <color rgb="FFFF0000"/>
        <rFont val="Arial"/>
        <family val="2"/>
      </rPr>
      <t>del responsable o agente retenedo</t>
    </r>
    <r>
      <rPr>
        <b/>
        <sz val="12"/>
        <color rgb="FF0066FF"/>
        <rFont val="Arial"/>
        <family val="2"/>
      </rPr>
      <t>r</t>
    </r>
    <r>
      <rPr>
        <b/>
        <u/>
        <sz val="12"/>
        <color rgb="FF0066FF"/>
        <rFont val="Arial"/>
        <family val="2"/>
      </rPr>
      <t xml:space="preserve"> en el último día del año inmediatamente anterior</t>
    </r>
    <r>
      <rPr>
        <b/>
        <sz val="12"/>
        <color rgb="FFFF0000"/>
        <rFont val="Arial"/>
        <family val="2"/>
      </rPr>
      <t xml:space="preserve"> o los ingresos brutos de dicho año</t>
    </r>
    <r>
      <rPr>
        <sz val="12"/>
        <color theme="1"/>
        <rFont val="Arial"/>
        <family val="2"/>
      </rPr>
      <t>, sean superiores a</t>
    </r>
    <r>
      <rPr>
        <b/>
        <sz val="12"/>
        <color rgb="FFFF0000"/>
        <rFont val="Arial"/>
        <family val="2"/>
      </rPr>
      <t xml:space="preserve"> 100.000 UVT,</t>
    </r>
    <r>
      <rPr>
        <sz val="12"/>
        <color theme="1"/>
        <rFont val="Arial"/>
        <family val="2"/>
      </rPr>
      <t xml:space="preserve"> o cuando la declaración del impuesto sobre las ventas </t>
    </r>
    <r>
      <rPr>
        <b/>
        <sz val="12"/>
        <color rgb="FF0066FF"/>
        <rFont val="Arial"/>
        <family val="2"/>
      </rPr>
      <t>presente un saldo a favor del responsable</t>
    </r>
  </si>
  <si>
    <t>RESIDENTES EN EL EXTERIOR  CONCEPTO 1364  DEL 29 OCT 2018</t>
  </si>
  <si>
    <r>
      <rPr>
        <b/>
        <sz val="12"/>
        <color rgb="FFFF0000"/>
        <rFont val="Arial"/>
        <family val="2"/>
      </rPr>
      <t>DECLARACIÓN INFORMATIVA</t>
    </r>
    <r>
      <rPr>
        <b/>
        <sz val="12"/>
        <color theme="1"/>
        <rFont val="Arial"/>
        <family val="2"/>
      </rPr>
      <t xml:space="preserve"> Y </t>
    </r>
    <r>
      <rPr>
        <b/>
        <sz val="12"/>
        <color rgb="FF0066FF"/>
        <rFont val="Arial"/>
        <family val="2"/>
      </rPr>
      <t>DOCUMENTACiÓN COMPROBATORIA</t>
    </r>
    <r>
      <rPr>
        <b/>
        <sz val="12"/>
        <color theme="1"/>
        <rFont val="Arial"/>
        <family val="2"/>
      </rPr>
      <t xml:space="preserve"> DE PRECIOS DE TRANSFERENCIA</t>
    </r>
  </si>
  <si>
    <r>
      <t xml:space="preserve">6. Que el monto de sus consignaciones bancarias, depósitos o inversiones financieras durante el </t>
    </r>
    <r>
      <rPr>
        <b/>
        <sz val="12"/>
        <color rgb="FF0066FF"/>
        <rFont val="Arial"/>
        <family val="2"/>
      </rPr>
      <t>año anterior</t>
    </r>
    <r>
      <rPr>
        <sz val="12"/>
        <color theme="1"/>
        <rFont val="Arial"/>
        <family val="2"/>
      </rPr>
      <t xml:space="preserve"> o durante el </t>
    </r>
    <r>
      <rPr>
        <b/>
        <sz val="12"/>
        <color rgb="FFFF0000"/>
        <rFont val="Arial"/>
        <family val="2"/>
      </rPr>
      <t>respectivo año</t>
    </r>
    <r>
      <rPr>
        <sz val="12"/>
        <color theme="1"/>
        <rFont val="Arial"/>
        <family val="2"/>
      </rPr>
      <t xml:space="preserve"> </t>
    </r>
    <r>
      <rPr>
        <b/>
        <sz val="12"/>
        <color rgb="FF339933"/>
        <rFont val="Arial"/>
        <family val="2"/>
      </rPr>
      <t>provenientes de actividades gravadas con el impuesto sobre las ventas - IVA</t>
    </r>
    <r>
      <rPr>
        <b/>
        <sz val="12"/>
        <color rgb="FFFF0000"/>
        <rFont val="Arial"/>
        <family val="2"/>
      </rPr>
      <t xml:space="preserve">, </t>
    </r>
    <r>
      <rPr>
        <b/>
        <sz val="12"/>
        <color theme="1"/>
        <rFont val="Arial"/>
        <family val="2"/>
      </rPr>
      <t xml:space="preserve">no supere la suma de 3.500 UVT.
</t>
    </r>
  </si>
  <si>
    <t>RESOLUCIÓN NÚMERO  000140  DEL 25 DE  NOVIEMBRE 2021</t>
  </si>
  <si>
    <t>Por la cual se fija el valor de la Unidad de Valor Tributario – UVT aplicable para el año 2022</t>
  </si>
  <si>
    <r>
      <t xml:space="preserve">Que de acuerdo con la Certificación 163818 del 29 de octubre de 2021, expedida por el Departamento Administrativo Nacional de Estadística –DANE, la variación acumulada del índice de precios al consumidor para “clase media” en el periodo comprendido </t>
    </r>
    <r>
      <rPr>
        <b/>
        <sz val="12"/>
        <color rgb="FFFF0000"/>
        <rFont val="Arial"/>
        <family val="2"/>
      </rPr>
      <t>entre el 1º de octubre de 2020 y el 1º de octubre de 2021</t>
    </r>
    <r>
      <rPr>
        <sz val="12"/>
        <color theme="1"/>
        <rFont val="Arial"/>
        <family val="2"/>
      </rPr>
      <t>,</t>
    </r>
    <r>
      <rPr>
        <b/>
        <sz val="12"/>
        <color rgb="FFFF0000"/>
        <rFont val="Arial"/>
        <family val="2"/>
      </rPr>
      <t xml:space="preserve"> fue de 4,67%</t>
    </r>
    <r>
      <rPr>
        <sz val="12"/>
        <color theme="1"/>
        <rFont val="Arial"/>
        <family val="2"/>
      </rPr>
      <t>.</t>
    </r>
  </si>
  <si>
    <t>Que el Departamento Administrativo Nacional de Estadística - DANE reemplazó la categoría "Ingresos Medios" por el término “Clase Media”, debido la nueva metodología del índice de precios al consumidor -IPC que utilizó una clasificación por niveles de ingresos de acuerdo a los tamaños del mercado local. Al respecto, de acuerdo con lo manifestado por el Coordinador GIT Información y Servicio al ciudadano de la Dirección de Difusión, Mercadeo y Cultura Estadística del DANE, mediante comunicación número 20211510289791 del 29 de octubre de 2021, “la categoría de “Ingresos Medios” del IPC Base 2008 es equivalente y se corresponde con los “Ingresos Clase Media” de la nueva Base del IPC Diciembre de 2018=100</t>
  </si>
  <si>
    <t>Que el Jefe de la Coordinación de Estudios Económicos de la Subdirección de Gestión de Análisis Operacional, mediante oficio número 100152176-00284 del 02 de noviembre de 2021, certificó el valor actualizado de la Unidad de Valor Tributario – UVT para el año 2021, en treinta y seis mil trescientos ocho pesos ($38.004).</t>
  </si>
  <si>
    <t>Que por lo anterior, se hace necesario establecer mediante la presente Resolución, el valor de la Unidad de Valor Tributario – UVT, que regirá para el año 2022.</t>
  </si>
  <si>
    <t xml:space="preserve">Que en cumplimiento de lo  dispuesto en el numeral 8 del artículo 8 de la Ley 1437 de 2011, el proyecto de resoluciónn fue publicado en el sitio web de la Unidad Administrativa Especial Dirección de Impuestos y Aduanas Nacionales – DIAN, del 8 al 18 de noviembre de 2021 para comentarios y obseravaciones. </t>
  </si>
  <si>
    <r>
      <rPr>
        <b/>
        <sz val="12"/>
        <color theme="1"/>
        <rFont val="Arial"/>
        <family val="2"/>
      </rPr>
      <t>ARTÍCULO 1. Valor de la Unidad de Valor Tributario - UVT</t>
    </r>
    <r>
      <rPr>
        <sz val="12"/>
        <color theme="1"/>
        <rFont val="Arial"/>
        <family val="2"/>
      </rPr>
      <t xml:space="preserve">. Fijar en </t>
    </r>
    <r>
      <rPr>
        <b/>
        <sz val="12"/>
        <color rgb="FF0066FF"/>
        <rFont val="Arial"/>
        <family val="2"/>
      </rPr>
      <t xml:space="preserve">treinta y ocho mil cuatro pesos </t>
    </r>
    <r>
      <rPr>
        <b/>
        <sz val="12"/>
        <color rgb="FFFF0000"/>
        <rFont val="Arial"/>
        <family val="2"/>
      </rPr>
      <t>($38.004</t>
    </r>
    <r>
      <rPr>
        <sz val="12"/>
        <color theme="1"/>
        <rFont val="Arial"/>
        <family val="2"/>
      </rPr>
      <t>) pesos, el valor de la Unidad de Valor Tributario – UVT que regirá durante el año 2022.</t>
    </r>
  </si>
  <si>
    <t>Valor en $           Año   2.022</t>
  </si>
  <si>
    <t>DECRETO  1846  DE  24 DICIEMBRE DE 2021</t>
  </si>
  <si>
    <t>AJUSTE DE ACTIVOS FIJOS  AG 2021</t>
  </si>
  <si>
    <r>
      <rPr>
        <b/>
        <sz val="12"/>
        <color theme="1"/>
        <rFont val="Arial"/>
        <family val="2"/>
      </rPr>
      <t>"Artículo 1.2.1.17.20.- Ajuste del costo de los activos fijos</t>
    </r>
    <r>
      <rPr>
        <sz val="12"/>
        <color theme="1"/>
        <rFont val="Arial"/>
        <family val="2"/>
      </rPr>
      <t xml:space="preserve">. Los contribuyentes podrán ajustar el costo de los activos fijos por </t>
    </r>
    <r>
      <rPr>
        <b/>
        <sz val="12"/>
        <color rgb="FFFF0000"/>
        <rFont val="Arial"/>
        <family val="2"/>
      </rPr>
      <t xml:space="preserve">el año gravable 2021, en UNO PUNTO NOVENTA Y SIETE por ciento (1.97%), </t>
    </r>
    <r>
      <rPr>
        <sz val="12"/>
        <color theme="1"/>
        <rFont val="Arial"/>
        <family val="2"/>
      </rPr>
      <t>de acuerdo con lo previsto en el artículo 70 del Estatuto Tributario."</t>
    </r>
  </si>
  <si>
    <r>
      <rPr>
        <b/>
        <sz val="12"/>
        <color theme="1"/>
        <rFont val="Arial"/>
        <family val="2"/>
      </rPr>
      <t>"Artículo 1.2.1.17.21.- Costo fiscal para determinar la renta o ganancia ocasional.</t>
    </r>
    <r>
      <rPr>
        <sz val="12"/>
        <color theme="1"/>
        <rFont val="Arial"/>
        <family val="2"/>
      </rPr>
      <t xml:space="preserve"> Para efectos de </t>
    </r>
    <r>
      <rPr>
        <b/>
        <sz val="12"/>
        <color rgb="FF0066CC"/>
        <rFont val="Arial"/>
        <family val="2"/>
      </rPr>
      <t>determinar la renta o ganancia ocasional,</t>
    </r>
    <r>
      <rPr>
        <sz val="12"/>
        <color theme="1"/>
        <rFont val="Arial"/>
        <family val="2"/>
      </rPr>
      <t xml:space="preserve"> según el caso, proveniente de la </t>
    </r>
    <r>
      <rPr>
        <b/>
        <sz val="12"/>
        <color rgb="FFFF0000"/>
        <rFont val="Arial"/>
        <family val="2"/>
      </rPr>
      <t>enajenación</t>
    </r>
    <r>
      <rPr>
        <sz val="12"/>
        <color theme="1"/>
        <rFont val="Arial"/>
        <family val="2"/>
      </rPr>
      <t xml:space="preserve"> durante el año gravable 2021, de bienes raíces y de acciones o aportes que tengan el </t>
    </r>
    <r>
      <rPr>
        <b/>
        <sz val="12"/>
        <color rgb="FFFF0000"/>
        <rFont val="Arial"/>
        <family val="2"/>
      </rPr>
      <t>carácter de activos fijos</t>
    </r>
    <r>
      <rPr>
        <sz val="12"/>
        <color theme="1"/>
        <rFont val="Arial"/>
        <family val="2"/>
      </rPr>
      <t xml:space="preserve">, los contribuyentes que </t>
    </r>
    <r>
      <rPr>
        <b/>
        <sz val="12"/>
        <color rgb="FFFF0000"/>
        <rFont val="Arial"/>
        <family val="2"/>
      </rPr>
      <t>sean personas naturales</t>
    </r>
    <r>
      <rPr>
        <sz val="12"/>
        <color theme="1"/>
        <rFont val="Arial"/>
        <family val="2"/>
      </rPr>
      <t xml:space="preserve"> podrán tomar como costo fiscal cualquiera de los siguientes valores: </t>
    </r>
  </si>
  <si>
    <t>En el momento de la enajenación del inmueble, se restará del costo fiscal determinado de acuerdo con el presente artículo, las depreciaciones que hayan sido deducidas para fines fiscales</t>
  </si>
  <si>
    <r>
      <rPr>
        <b/>
        <sz val="12"/>
        <color theme="1"/>
        <rFont val="Arial"/>
        <family val="2"/>
      </rPr>
      <t>Parágrafo</t>
    </r>
    <r>
      <rPr>
        <sz val="12"/>
        <color theme="1"/>
        <rFont val="Arial"/>
        <family val="2"/>
      </rPr>
      <t xml:space="preserve">: El costo fiscal de los bienes raíces, aportes o acciones en sociedades determinado de acuerdo con este artículo, podrá ser tomado como valor patrimonial  en la declaración de renta y complementarios del año gravable 2021." </t>
    </r>
  </si>
  <si>
    <t>UVT  AÑO  2022</t>
  </si>
  <si>
    <r>
      <rPr>
        <b/>
        <sz val="12"/>
        <color theme="1"/>
        <rFont val="Arial"/>
        <family val="2"/>
      </rPr>
      <t>UVT AÑO 2022.- Resolución 00140 del 25 de Noviembre de 2021</t>
    </r>
    <r>
      <rPr>
        <sz val="12"/>
        <color theme="1"/>
        <rFont val="Arial"/>
        <family val="2"/>
      </rPr>
      <t>.- Que de acuerdo con la Certificación 163818 del 29 de octubre de 2021, expedida por el Departamento Administrativo Nacional de Estadística –DANE, la variación acumulada del índice de precios al consumidor para “clase media” en el periodo comprendido entre el 1º de octubre de 20209 y el 1º de octubre de 2021,</t>
    </r>
    <r>
      <rPr>
        <b/>
        <sz val="12"/>
        <color rgb="FFFF0000"/>
        <rFont val="Arial"/>
        <family val="2"/>
      </rPr>
      <t xml:space="preserve"> fue de 4,67%</t>
    </r>
    <r>
      <rPr>
        <sz val="12"/>
        <color theme="1"/>
        <rFont val="Arial"/>
        <family val="2"/>
      </rPr>
      <t>.</t>
    </r>
  </si>
  <si>
    <t>Valor UVT por año</t>
  </si>
  <si>
    <t>Aumento % desde 2006</t>
  </si>
  <si>
    <t>En el momento de la enajenación del inmueble. se restará del costo fiscal determinado de acuerdo con el presente artículo. las depreciaciones que hayan sido deducidas para fines fiscales</t>
  </si>
  <si>
    <t>Parágrafo: El costo fiscal de los bienes raíces, aportes o acciones en sociedades determinado de acuerdo con este artículo, podrá ser tomado como valor patrimonial en la declaración de renta y complementarios del año gravable 2020</t>
  </si>
  <si>
    <t>Aumento Relativo desde 2006</t>
  </si>
  <si>
    <t>desde 2006</t>
  </si>
  <si>
    <t>Art. 388. Depuración de la base del cálculo de la retención en la fuente.</t>
  </si>
  <si>
    <t>1. Los ingresos que la ley de manera taxativa prevé como no constitutivos de renta ni ganancia ocasional.</t>
  </si>
  <si>
    <t>Ingresos no constitutivos por dividendos y participaciones. E.T., art. 48. (Modificado. L. 1819/2016, art. 2).</t>
  </si>
  <si>
    <t>Ingresos no constitutivos por componente inflacionario de los rendimientos financieros. E.T. art. 38 al 40.</t>
  </si>
  <si>
    <t>Ingresos no constitutivos por la utilidad en enajenación de acciones. E.T., art. 36-1, incisos 2 y 3.</t>
  </si>
  <si>
    <t>Ingresos no constitutivos por utilidades provenientes de la negociación de derivados. E.T., art. 36-1, inciso 4.</t>
  </si>
  <si>
    <t>Ingresos no constitutivos por capitalizaciones no gravadas a socios o accionistas. E.T. art. 36-3</t>
  </si>
  <si>
    <t>Ingresos no constitutivos por las indemnizaciones en virtud de seguros de daño. E.T., art. 45</t>
  </si>
  <si>
    <t>Ingresos no constitutivos por las indemnizaciones por destrucción o renovación de cultivos, y por control de plagas. E.T., art. 46-1</t>
  </si>
  <si>
    <t>Ingresos no constitutivos por los aportes de entidades estatales, sobretasas e impuestos para financiamiento de sistemas de servicio público de transporte masivo de pasajeros. E.T., art. 53</t>
  </si>
  <si>
    <t>Ingresos no constitutivos percibidos por las organizaciones regionales de televisión y audiovisuales provenientes de la Comisión Nacional de Televisión. L. 488/98, art. 40</t>
  </si>
  <si>
    <t>Ingresos no constitutivos por la liberación de la reserva de que trata el numeral 12 del artículo Art. 290 E.T., Reserva de que trataba el 130 E.T</t>
  </si>
  <si>
    <t>Ingresos no constitutivos provenientes del Incentivo a la Capitalización Rural, (ICR). E.T., art. 52</t>
  </si>
  <si>
    <t>Ingresos no constitutivos por la utilidad en la venta de casa o apartamento de habitación. E.T., art. 44</t>
  </si>
  <si>
    <t>Ingresos no constitutivos por la retribución como recompensa. E.T., art. 42.</t>
  </si>
  <si>
    <t>Ingresos no constitutivos por la utilidad en la enajenación voluntaria de bienes expropiados. L. 388/97, art. 67, par. 2</t>
  </si>
  <si>
    <t>Ingresos no constitutivos por aportes al sistema general de pensiones. Art. 55 E.T. (Agregado, L. 1819/2016, art. 13)</t>
  </si>
  <si>
    <t>Ingresos no constitutivos por los subsidios y ayudas otorgadas por el programa Agro Ingreso Seguro – AIS e incentivos al almacenamiento y la capitalización rural previstos en la L 101/1993. Art. 57-1 E.T</t>
  </si>
  <si>
    <t>Ingresos no constitutivos por distribución de utilidades por liquidación de sociedades limitadas. E.T., art. 51.</t>
  </si>
  <si>
    <t>Ingresos no constitutivos por donaciones recibidas para partidos, movimientos y campañas políticas. E.T., Art. 47-1</t>
  </si>
  <si>
    <t>Ingresos no constitutivos por la utilidad en procesos de capitalización. L. 789/2002, art. 44</t>
  </si>
  <si>
    <t>Ingresos no constitutivos recibidos por el contribuyente para ser destinados al desarrollo de proyectos calificados como de carácter científico, tecnológico o de inversión. Art. 57-2 E.T</t>
  </si>
  <si>
    <t>Ingresos no constitutivos recursos administrados por Fogafin. E.T., art. 19-3, inciso 1.</t>
  </si>
  <si>
    <t>Ingresos no constitutivos por gananciales. E.T., art. 47.</t>
  </si>
  <si>
    <t xml:space="preserve">Ingresos no constitutivos por capitalización de utilidades en ajustes por inflación o componente inflacionario. Art. 50 E.T. </t>
  </si>
  <si>
    <t>Ingresos no constitutivos remuneración labores de carácter científico, tecnológico o innovación. E.T., art. 57 -2.</t>
  </si>
  <si>
    <t>Ingresos no constitutivos por apoyos económicos entregados como capital semilla. L. 1429/10, art. 16.</t>
  </si>
  <si>
    <t>Ingresos no constitutivos por recursos recibidos por aportes de la nación a entidades públicas en liquidación. L. 633/2000, art. 77</t>
  </si>
  <si>
    <t>Ingresos no constitutivos por componente inflacionario o mantenimiento de valor de títulos emitidos en proceso de titularización de cartera hipotecaria. L. 546/1999, art. 16, inciso 4.</t>
  </si>
  <si>
    <t>Ingresos no constitutivos generado en fuentes productoras de algún país de la CAN, diferente de Colombia. Decisión. 578 de 2004, art. 3</t>
  </si>
  <si>
    <t>Ingresos no constitutivos generado en remuneraciones, honorarios, sueldos, salarios, etc., prestados en otro país de la CAN diferente de Colombia. Decisión 578 de 2004, art. 13</t>
  </si>
  <si>
    <t>Ingresos no constitutivos por empresas de servicios profesionales, producidos en otro país de la CAN, diferente de Colombia. Decisión. 578 de 2004, art. 14.</t>
  </si>
  <si>
    <t>Ingresos no constitutivos por enajenación de inmuebles. L 9/1989, art. 15, modificado por la L. 3 de 1991, art. 35</t>
  </si>
  <si>
    <t>Ingresos no constitutivos por dividendos y beneficios distribuidos por la ECE. Art. 893 E.T</t>
  </si>
  <si>
    <t>Ingresos no constitutivos por rentas o ganancias ocasionales por enajenación de acciones o participaciones en la ECE. Inc. 2, Art. 893 E.T.</t>
  </si>
  <si>
    <t>Ingresos no constitutivos por Certificados de Incentivo Forestal. L. 139/1994, art. 8, literal c</t>
  </si>
  <si>
    <t>Ingresos no constitutivos por aportes obligatorios al sistema general de salud. Art. 56 E.T. (Agregado, L. 1819/2016, art. 14)</t>
  </si>
  <si>
    <t>Ingresos no constitutivos por premios obtenidos en virtud del Premio Fiscal que trata el art. 618-1 del E.T</t>
  </si>
  <si>
    <t>Ingresos no constitutivos por contraprestación por la producción de obras cinematográficas. L. 1556/2012, art. 9 y D.R. 437/2013, art. 8</t>
  </si>
  <si>
    <t>Ingresos no constitutivos por donaciones Protocolo Montreal.L.488/1998, art. 32.</t>
  </si>
  <si>
    <t>Ingresos no constitutivos por apoyos económicos entregados por el Estado o financiados con recursos públicos. Art. 46, modificado por L. 1819/2016, art. 11.</t>
  </si>
  <si>
    <t>Ingreso no constitutivo por utilidades repartidas a través de acciones a trabajadores de sociedades de Beneficio de Interés Colectivo – BIC Art. 44 Ley 789 de 2002</t>
  </si>
  <si>
    <t xml:space="preserve">INGRESOS NO CONSTITUTIVOS </t>
  </si>
  <si>
    <t>RENTAS EXENTAS</t>
  </si>
  <si>
    <t>Renta exenta por venta energía eléctrica generada con base en energía eólica, biomasa o residuos agrícolas, solar, geotérmica o de los mares. Art. 235-2 numeral 3</t>
  </si>
  <si>
    <t>Renta exenta por aprovechamiento de nuevas plantaciones forestales incluida la guadua el caucho y el marañón. Art. 235-2 numeral 5. Inciso 1</t>
  </si>
  <si>
    <t>Renta exenta por prestación de servicio de transporte fluvial con embarcaciones y planchones de bajo calado Art. 235-2 numeral 6.</t>
  </si>
  <si>
    <t>Rentas exentas por la utilidad en la enajenación de predios destinados a fines de utilidad pública. Num 9 Art. 207-2 E.T. Sentencia C-083 del 2018</t>
  </si>
  <si>
    <t>Rentas exentas por aplicación de algún convenio para evitar la doble tributación</t>
  </si>
  <si>
    <t>Rentas exentas por creaciones literarias de la economía naranja contenidas en el artículo 28 de la Ley 98 de 1993. Art. 235-2 numeral 8.</t>
  </si>
  <si>
    <t>Rentas exentas por Intereses, comisiones y pagos por deuda pública externa, E.T. art. 218 E.T</t>
  </si>
  <si>
    <t>Rentas exentas por inversión en nuevos aserríos, plantas de procesamiento y plantaciones de árboles maderables y árboles en producción de frutos. E.T., art. 235-2, numeral 5. Incisos 2 y 3</t>
  </si>
  <si>
    <t>Rentas exentas por servicios prestados en hoteles nuevos. E.T., Art. 207-2, Num 3 Sentencia C 235 del 29 de mayo de 2019</t>
  </si>
  <si>
    <t>Rentas exentas por servicios prestados en hoteles remodelado y/o ampliados. E.T., Art. 207-2 E.T, Num. 4. Sentencia C 235 del 29 de mayo de 2019</t>
  </si>
  <si>
    <t>Rentas exentas por aportes voluntarios a los fondos de pensiones. E.T. art. 126-1, inc. 2</t>
  </si>
  <si>
    <t>Rentas exentas por los ahorros a largo plazo para el fomento de la construcción. E.T., art. 126-4</t>
  </si>
  <si>
    <t>Rentas exentas del beneficio neto o excedente para las entidades sin ánimo de lucro. E.T., art 358 E.T</t>
  </si>
  <si>
    <t>Rentas exentas de fondos provenientes de auxilios o donaciones de entidades o gobiernos extranjeros. Convenidos con el Gobierno colombiano, destinados a programas de utilidad común y registrados por la Agencia Presidencial de la Cooperación Internacional. Art. 96 L. 788/2002</t>
  </si>
  <si>
    <t>Rentas exentas prestaciones provenientes de un fondo de pensiones. E.T. art. 207</t>
  </si>
  <si>
    <t>Renta exenta pago principal y demás rendimientos generados en actividades financieras por parte de entidades gubernamentales de carácter financiero y de cooperación para el desarrollo. E.T., art. 207-2, numeral 12</t>
  </si>
  <si>
    <t>Rentas exentas de los industriales de la cinematografía, personas naturales. L. 397/1997, art. 46</t>
  </si>
  <si>
    <t>Renta exenta por la utilidad en la enajenación de predios destinados al desarrollo de proyectos de vivienda interés social y/o prioritario. Art. 235-2 numeral 4, literal a)</t>
  </si>
  <si>
    <t>Renta exenta por la utilidad en la primera enajenación de viviendas de interés social y/o prioritario. E.T., art. 235-2, numeral 4, literal b)</t>
  </si>
  <si>
    <t>Renta exenta por la utilidad en la enajenación de predios para desarrollo de proyectos de renovación urbana asociados a vivienda de interés social y prioritario. E.T., art. 235-2, numeral 4, literal c).</t>
  </si>
  <si>
    <t>Renta exenta de que trata L. 546/1999, art. 16. Modificado. L. 964/2005 asociados a proyectos de vivienda de interés y prioritario. E.T., art. 235-2, numeral 4, literal d)</t>
  </si>
  <si>
    <t>Renta exenta por rendimientos financieros provenientes de créditos para adquisición de vivienda de interés social y/o prioritario. E.T., art. 235-2, numeral 4 literal e)</t>
  </si>
  <si>
    <t>Renta exenta por los rendimientos generados por la reserva de estabilización que constituyen las entidades administradoras de fondos de pensiones y cesantías. Art. 101 de la Ley 100 de 1993. Art. 235-2 numeral 9.</t>
  </si>
  <si>
    <t>Renta exenta creaciones literarias de la economía naranja, numeral 8 del artículo 235-2 del E.T.</t>
  </si>
  <si>
    <t>Renta exenta. Incentivo tributario para empresas de economía naranja Art. 235-2 numeral 1, E.T.</t>
  </si>
  <si>
    <t>Renta exenta. Incentivo tributario para el desarrollo del campo colombiano, Art. 235-2 numeral 2, E.T</t>
  </si>
  <si>
    <t>Renta exenta de capital por dividendos o participaciones distribuidos por no residentes a CHC y por prima en colocación de acciones. Art.895 E.T</t>
  </si>
  <si>
    <t>Renta exenta ganancia ocasional derivada de la venta o transmisión de la participación de una CHC en entidades no residentes. Art. 896 E.T.</t>
  </si>
  <si>
    <t>Renta exenta de las sumas destinadas al pago de los seguros de invalidez y de sobrevivientes dentro del mismo régimen de ahorro individual con solidaridad. L. 100/93, art. 135</t>
  </si>
  <si>
    <t>Art. 206. Rentas de trabajo exentas.</t>
  </si>
  <si>
    <t>Están gravados con el impuesto sobre la renta y complementarios la totalidad de los pagos o abonos en cuenta provenientes de la relación laboral o legal y reglamentaria, con excepción de los siguientes:</t>
  </si>
  <si>
    <t>Las indemnizaciones por accidente de trabajo o enfermedad.</t>
  </si>
  <si>
    <t>Las indemnizaciones que impliquen protección a la maternidad.</t>
  </si>
  <si>
    <t>Lo recibido por gastos de entierro del trabajador.</t>
  </si>
  <si>
    <t xml:space="preserve">El auxilio de cesantía y los intereses sobre cesantías, siempre y cuando sean recibidos por trabajadores cuyo ingreso mensual promedio en los seis (6) últimos meses de vinculación laboral no exceda de 350 UVT. </t>
  </si>
  <si>
    <t>Las pensiones de jubilación, invalidez, vejez, de sobrevivientes y sobre Riesgos Profesionales, hasta el año gravable de 1997. A partir del 1 de Enero de 1998 estarán gravadas sólo en la parte del pago mensual que exceda de 1.000 UVT</t>
  </si>
  <si>
    <t>El mismo tratamiento tendrán las Indemnizaciones Sustitutivas de las Pensiones o las devoluciones de saldos de ahorro pensional. Para el efecto, el valor exonerado del impuesto será el que resulte de multiplicar la suma equivalente a 1.000 UVT**, calculados al momento de recibir la indemnización, por el número de meses a los cuales ésta corresponda</t>
  </si>
  <si>
    <t>El seguro por muerte, las compensaciones por muerte y las prestaciones sociales en actividad y en retiro de los miembros de las Fuerzas Militares y de la Policía Nacional.</t>
  </si>
  <si>
    <t>En el caso de los Magistrados de los Tribunales, sus Fiscales y Procuradores Judiciales, se considerará como gastos de representación exentos un porcentaje equivalente al cincuenta por ciento (50%) de su salario.</t>
  </si>
  <si>
    <t>Para los Jueces de la República el porcentaje exento será del veinticinco porciento (25%) sobre su salario.</t>
  </si>
  <si>
    <t>El exceso del salario básico percibido por los Oficiales, Suboficiales y Soldados Profesionales de las Fuerzas Militares y Oficiales, Suboficiales, Nivel Ejecutivo, Patrulleros y Agentes de la Policía Nacional.</t>
  </si>
  <si>
    <t>Los gastos de representación de los rectores y profesores de universidades públicas, los cuales no podrán exceder del cincuenta (50%) de su salario</t>
  </si>
  <si>
    <t>El veinticinco por ciento (25%) del valor total de los pagos laborales, limitada mensualmente a doscientas cuarenta (240) UVT.</t>
  </si>
  <si>
    <t>El cálculo de esta renta exenta se efectuará una vez se detraiga del valor total de los pagos laborales recibidos por el trabajador, los ingresos no constitutivos de renta, las deducciones y las demás rentas exentas diferentes a la establecida en el presente numeral</t>
  </si>
  <si>
    <r>
      <rPr>
        <b/>
        <sz val="12"/>
        <color theme="1"/>
        <rFont val="Arial"/>
        <family val="2"/>
      </rPr>
      <t>PAR 1</t>
    </r>
    <r>
      <rPr>
        <b/>
        <sz val="12"/>
        <color rgb="FF006600"/>
        <rFont val="Arial"/>
        <family val="2"/>
      </rPr>
      <t>.</t>
    </r>
    <r>
      <rPr>
        <sz val="12"/>
        <color rgb="FF000000"/>
        <rFont val="Arial"/>
        <family val="2"/>
      </rPr>
      <t> La exención prevista en los numerales 1, 2, 3, 4, y 6 de este artículo, opera únicamente sobre los valores que correspondan al mínimo legal de que tratan las normas laborales; el excedente no está exento del impuesto de renta y complementarios</t>
    </r>
  </si>
  <si>
    <r>
      <rPr>
        <b/>
        <sz val="12"/>
        <color theme="1"/>
        <rFont val="Arial"/>
        <family val="2"/>
      </rPr>
      <t>PAR 2</t>
    </r>
    <r>
      <rPr>
        <sz val="12"/>
        <color theme="1"/>
        <rFont val="Arial"/>
        <family val="2"/>
      </rPr>
      <t>.  La exención prevista en el numeral 10o. no se otorgará sobre las cesantías, sobre la porción de los ingresos excluida o exonerada del impuesto de renta por otras disposiciones, ni sobre la parte gravable de las pensiones. La exención del factor prestacional a que se refiere el artículo 18 de la Ley 50 de 1990 queda sustituida por lo previsto en este numeral.</t>
    </r>
  </si>
  <si>
    <r>
      <rPr>
        <b/>
        <sz val="12"/>
        <color theme="1"/>
        <rFont val="Arial"/>
        <family val="2"/>
      </rPr>
      <t>PAR 3</t>
    </r>
    <r>
      <rPr>
        <sz val="12"/>
        <color theme="1"/>
        <rFont val="Arial"/>
        <family val="2"/>
      </rPr>
      <t>. Para tener derecho a la exención consagrada en el numeral 5 de este artículo, el contribuyente debe cumplir los requisitos necesarios para acceder a la pensión, de acuerdo con la Ley 100 de 1993.</t>
    </r>
  </si>
  <si>
    <t>2. Las deducciones a que se refiere el artículo 387 del Estatuto Tributaría y las rentas que la ley de manera taxativa prevé como exentas. En todo caso, la suma total de deducciones y rentas exentas no podrá superar el cuarenta por ciento (40%) del resultado de restar del monto del pago o abono en cuenta los ingresos no constitutivos de renta ni ganancia ocasional imputables. Esta limitación no aplicará en el caso del pago de pensiones de jubilación, invalidez, vejez, de sobrevivientes y sobre riesgos profesionales, las indemnizaciones sustitutivas de las pensiones y las devoluciones de ahorro pensional.</t>
  </si>
  <si>
    <r>
      <t>* -Adicionado-</t>
    </r>
    <r>
      <rPr>
        <sz val="12"/>
        <color rgb="FF000000"/>
        <rFont val="Arial"/>
        <family val="2"/>
      </rPr>
      <t> Para obtener la base de retención en la fuente sobre los pagos o abonos en cuenta por concepto de rentas de trabajo efectuados a las personas naturales, se podrán detraer los siguientes factores:</t>
    </r>
  </si>
  <si>
    <t>Intereses de prestamo de vivienda (100 uvt mes) Art 119</t>
  </si>
  <si>
    <t xml:space="preserve">Pagos por salud (16 uvt mes) </t>
  </si>
  <si>
    <t xml:space="preserve">Dependientes - 10% ingreso - (32 uvt mes) </t>
  </si>
  <si>
    <r>
      <t>PAR 4. </t>
    </r>
    <r>
      <rPr>
        <sz val="12"/>
        <color theme="1"/>
        <rFont val="Arial"/>
        <family val="2"/>
      </rPr>
      <t>Las rentas exentas establecidas en los numerales 6, 7, 8 Y 9 de este artículo, no estarán sujetas a las limitantes previstas en el numeral 3 del artículo 336 de este Estatuto.</t>
    </r>
  </si>
  <si>
    <r>
      <t>PAR 5. </t>
    </r>
    <r>
      <rPr>
        <sz val="12"/>
        <color theme="1"/>
        <rFont val="Arial"/>
        <family val="2"/>
      </rPr>
      <t>La exención prevista en el numeral 10 también procede en relación con los honorarios percibidos por personas naturales que presten servicios y que contraten o vinculen por un término inferior a noventa (90) días continuos o discontinuos menos de dos (2) trabajadores o contratistas asociados a la actividad.</t>
    </r>
  </si>
  <si>
    <t xml:space="preserve">Medicina prepagada </t>
  </si>
  <si>
    <t>Rentas exentas: Aporte voluntarios fondo de pensiones vol y AFC  (126-1; y 126-4)</t>
  </si>
  <si>
    <t>Rentas exentas: Num 10.- El 25% sin pasar de 240 uvt</t>
  </si>
  <si>
    <t>INGRESOS EN EL MES</t>
  </si>
  <si>
    <t>UVT  2021</t>
  </si>
  <si>
    <t>UVT  2022</t>
  </si>
  <si>
    <t>Ingresos para declarar</t>
  </si>
  <si>
    <t>Patrimonio para declarar</t>
  </si>
  <si>
    <t>+</t>
  </si>
  <si>
    <t>Valores según año</t>
  </si>
  <si>
    <t xml:space="preserve">Valor </t>
  </si>
  <si>
    <t xml:space="preserve"> UVT</t>
  </si>
  <si>
    <t xml:space="preserve">Valor en COP </t>
  </si>
  <si>
    <t xml:space="preserve">Valor en COP  </t>
  </si>
  <si>
    <t xml:space="preserve">Ingresos para No Responsable IVA </t>
  </si>
  <si>
    <t>Ingresos para No Responsable IVA  Estado</t>
  </si>
  <si>
    <t>Ingresos para Firma declaracion</t>
  </si>
  <si>
    <t>CONCEPTOS</t>
  </si>
  <si>
    <t>Ingresos gravados para retención fuente R trabajo</t>
  </si>
  <si>
    <t>Ingresos para retención fuente de Renta servicios</t>
  </si>
  <si>
    <t>Ingresos para retención fuente de Renta compras</t>
  </si>
  <si>
    <r>
      <t xml:space="preserve">1.- Que en el año </t>
    </r>
    <r>
      <rPr>
        <b/>
        <sz val="12"/>
        <color rgb="FF0066FF"/>
        <rFont val="Arial"/>
        <family val="2"/>
      </rPr>
      <t>anterior</t>
    </r>
    <r>
      <rPr>
        <sz val="12"/>
        <color theme="1"/>
        <rFont val="Arial"/>
        <family val="2"/>
      </rPr>
      <t xml:space="preserve"> (</t>
    </r>
    <r>
      <rPr>
        <b/>
        <sz val="12"/>
        <color rgb="FF0066FF"/>
        <rFont val="Arial"/>
        <family val="2"/>
      </rPr>
      <t>2021</t>
    </r>
    <r>
      <rPr>
        <sz val="12"/>
        <color theme="1"/>
        <rFont val="Arial"/>
        <family val="2"/>
      </rPr>
      <t xml:space="preserve">) </t>
    </r>
    <r>
      <rPr>
        <b/>
        <sz val="12"/>
        <color rgb="FFFF0000"/>
        <rFont val="Arial"/>
        <family val="2"/>
      </rPr>
      <t>o en el año en curso</t>
    </r>
    <r>
      <rPr>
        <sz val="12"/>
        <color theme="1"/>
        <rFont val="Arial"/>
        <family val="2"/>
      </rPr>
      <t xml:space="preserve"> (</t>
    </r>
    <r>
      <rPr>
        <b/>
        <sz val="12"/>
        <color rgb="FFFF0000"/>
        <rFont val="Arial"/>
        <family val="2"/>
      </rPr>
      <t>2022</t>
    </r>
    <r>
      <rPr>
        <sz val="12"/>
        <color theme="1"/>
        <rFont val="Arial"/>
        <family val="2"/>
      </rPr>
      <t xml:space="preserve">) hubieren obtenido ingresos brutos totales provenientes de la actividad, inferiores a </t>
    </r>
    <r>
      <rPr>
        <b/>
        <sz val="12"/>
        <color theme="1"/>
        <rFont val="Arial"/>
        <family val="2"/>
      </rPr>
      <t>3.500 UVT</t>
    </r>
  </si>
  <si>
    <t>Ingresos para RST</t>
  </si>
  <si>
    <t>INGRESOS POR HONORARIOS INDEPENDIENTES  QUE NO CONTRATAN</t>
  </si>
  <si>
    <t xml:space="preserve">Ingresos No Constitutivos de Renta y Ganancia Ocasional </t>
  </si>
  <si>
    <t>Sub-Total: Base para el limite del 40%</t>
  </si>
  <si>
    <t>Aportes obligatorios a Salud: 12% Patrono - 4% Trabajador</t>
  </si>
  <si>
    <t>Aportes obligatorios a Pensión: 12,5 % Patrono 4% Trabajador - 1% F de S</t>
  </si>
  <si>
    <t>uvt 2021</t>
  </si>
  <si>
    <t>uvt 2022</t>
  </si>
  <si>
    <t>Total Deducciones y Rentas exentas limitadas al 40%</t>
  </si>
  <si>
    <t>Base  de la Retención e la fuente</t>
  </si>
  <si>
    <t>UVT Base  de la Retención e la fuente</t>
  </si>
  <si>
    <t>Menor de 95 uvt</t>
  </si>
  <si>
    <t>Beneficio neto de auditoria 6 meses</t>
  </si>
  <si>
    <t>Beneficio neto de auditoria 12 meses</t>
  </si>
  <si>
    <t>Inflación - Indice de precios al consumidor</t>
  </si>
  <si>
    <t>5.62%</t>
  </si>
  <si>
    <t>Ingreso mes 20</t>
  </si>
  <si>
    <t>Ingreso mes 21</t>
  </si>
  <si>
    <t>VALOR  UVT  AÑO 2022</t>
  </si>
  <si>
    <r>
      <t xml:space="preserve">Honorarios y comisiones pagados a personas naturales que suscriban contratos por más de 3.300 Uvt  o que la sumatoria de los pagos o abonos en cuenta durante el año gravable superen 3.300 UVT </t>
    </r>
    <r>
      <rPr>
        <b/>
        <sz val="12"/>
        <color rgb="FFFF0000"/>
        <rFont val="Arial"/>
        <family val="2"/>
      </rPr>
      <t>($125.413.000)</t>
    </r>
  </si>
  <si>
    <t xml:space="preserve">Ingreso Mes </t>
  </si>
  <si>
    <t>PLAZOS: Según el Decreto 1778 de diciembre 20 de 2021, </t>
  </si>
  <si>
    <t>Ultimo Dig</t>
  </si>
  <si>
    <t>Vence</t>
  </si>
  <si>
    <t>1</t>
  </si>
  <si>
    <t>2</t>
  </si>
  <si>
    <t>3</t>
  </si>
  <si>
    <t>4</t>
  </si>
  <si>
    <t>5</t>
  </si>
  <si>
    <t>6</t>
  </si>
  <si>
    <t>7</t>
  </si>
  <si>
    <t>8</t>
  </si>
  <si>
    <t>9</t>
  </si>
  <si>
    <t>0</t>
  </si>
  <si>
    <r>
      <rPr>
        <b/>
        <sz val="12"/>
        <color theme="1"/>
        <rFont val="Arial"/>
        <family val="2"/>
      </rPr>
      <t>Artículo 1.6.1.13.2.50</t>
    </r>
    <r>
      <rPr>
        <sz val="12"/>
        <color theme="1"/>
        <rFont val="Arial"/>
        <family val="2"/>
      </rPr>
      <t xml:space="preserve">. </t>
    </r>
    <r>
      <rPr>
        <b/>
        <sz val="12"/>
        <color rgb="FFFF0000"/>
        <rFont val="Arial"/>
        <family val="2"/>
      </rPr>
      <t>Plazos para declarar y pagar el impuesto unificado bajo el régimen simple de tributación -SIMPLE</t>
    </r>
    <r>
      <rPr>
        <sz val="12"/>
        <color theme="1"/>
        <rFont val="Arial"/>
        <family val="2"/>
      </rPr>
      <t xml:space="preserve">. </t>
    </r>
    <r>
      <rPr>
        <b/>
        <sz val="12"/>
        <color theme="1"/>
        <rFont val="Arial"/>
        <family val="2"/>
      </rPr>
      <t>Las personas naturales y jurídicas</t>
    </r>
    <r>
      <rPr>
        <sz val="12"/>
        <color theme="1"/>
        <rFont val="Arial"/>
        <family val="2"/>
      </rPr>
      <t xml:space="preserve">, </t>
    </r>
    <r>
      <rPr>
        <b/>
        <sz val="12"/>
        <color rgb="FF0070C0"/>
        <rFont val="Arial"/>
        <family val="2"/>
      </rPr>
      <t xml:space="preserve">que por el período gravable 2021, se hayan inscrito ante la Unidad Administrativa Especial Dirección de Impuestos y Aduanas Nacionales -DIAN como contribuyentes del Régimen Simple de Tributación, </t>
    </r>
    <r>
      <rPr>
        <sz val="12"/>
        <color theme="1"/>
        <rFont val="Arial"/>
        <family val="2"/>
      </rPr>
      <t>deberán presentar la declaración anual consolidada de este impuesto y pagar el impuesto correspondiente al año gravable 2021, en las fechas que se indican a continuación, dependiendo del último dígito del Número de Identificación Tributaria -NIT del declarante, en el formulario que prescriba la Unidad Administrativa Especial Dirección de Impuestos y Aduanas Nacionales -DIAN</t>
    </r>
  </si>
  <si>
    <r>
      <rPr>
        <b/>
        <sz val="12"/>
        <color theme="1"/>
        <rFont val="Arial"/>
        <family val="2"/>
      </rPr>
      <t>Parágrafo 1</t>
    </r>
    <r>
      <rPr>
        <sz val="12"/>
        <color theme="1"/>
        <rFont val="Arial"/>
        <family val="2"/>
      </rPr>
      <t xml:space="preserve">. </t>
    </r>
    <r>
      <rPr>
        <b/>
        <sz val="12"/>
        <color rgb="FFFF0000"/>
        <rFont val="Arial"/>
        <family val="2"/>
      </rPr>
      <t>El impuesto de ganancias ocasionales para los contribuyentes inscritos en el Régimen Simple de Tributación se determinará con base en las reglas generales establecidas en el ET.</t>
    </r>
    <r>
      <rPr>
        <sz val="12"/>
        <color theme="1"/>
        <rFont val="Arial"/>
        <family val="2"/>
      </rPr>
      <t xml:space="preserve"> y se pagará en los plazos aquí dispuestos, utilizando el formulario prescrito para la declaración anual consolidada del régimen simple de tributación.</t>
    </r>
  </si>
  <si>
    <r>
      <rPr>
        <b/>
        <sz val="12"/>
        <color theme="1"/>
        <rFont val="Arial"/>
        <family val="2"/>
      </rPr>
      <t>Parágrafo 2</t>
    </r>
    <r>
      <rPr>
        <sz val="12"/>
        <color theme="1"/>
        <rFont val="Arial"/>
        <family val="2"/>
      </rPr>
      <t xml:space="preserve">. </t>
    </r>
    <r>
      <rPr>
        <b/>
        <sz val="12"/>
        <color theme="4" tint="-0.249977111117893"/>
        <rFont val="Arial"/>
        <family val="2"/>
      </rPr>
      <t>El impuesto nacional al consumo por expendio de comidas y bebidas para los contribuyentes inscritos en el régimen simple de tributación se determinará con base en las reglas generales establecidas en el Es</t>
    </r>
    <r>
      <rPr>
        <sz val="12"/>
        <color theme="1"/>
        <rFont val="Arial"/>
        <family val="2"/>
      </rPr>
      <t>tatuto Tributario y se declarará y pagará en los plazos aquí dispuestos, utilizando el formulario prescrito para la declaración anual consolidada del Régimen Simple de Tributación."</t>
    </r>
  </si>
  <si>
    <t>1 y 2</t>
  </si>
  <si>
    <t>3 y 4</t>
  </si>
  <si>
    <t>5 y 6</t>
  </si>
  <si>
    <t>7 y 8</t>
  </si>
  <si>
    <t>9 y 0</t>
  </si>
  <si>
    <r>
      <rPr>
        <b/>
        <sz val="12"/>
        <color theme="1"/>
        <rFont val="Arial"/>
        <family val="2"/>
      </rPr>
      <t>Artículo 1.6.1.13.2.51</t>
    </r>
    <r>
      <rPr>
        <sz val="12"/>
        <color theme="1"/>
        <rFont val="Arial"/>
        <family val="2"/>
      </rPr>
      <t xml:space="preserve">. </t>
    </r>
    <r>
      <rPr>
        <b/>
        <sz val="12"/>
        <color rgb="FFFF0000"/>
        <rFont val="Arial"/>
        <family val="2"/>
      </rPr>
      <t>Plazo para presentar la Declaración Anual Consolidada del impuesto sobre las ventas -IVA</t>
    </r>
    <r>
      <rPr>
        <sz val="12"/>
        <color theme="1"/>
        <rFont val="Arial"/>
        <family val="2"/>
      </rPr>
      <t xml:space="preserve">. </t>
    </r>
    <r>
      <rPr>
        <b/>
        <sz val="12"/>
        <color theme="8" tint="-0.499984740745262"/>
        <rFont val="Arial"/>
        <family val="2"/>
      </rPr>
      <t>Los contribuyentes del impuesto unificado bajo el régimen simple de tributación -SIMPLE que sean responsables del impuesto sobre las ventas -IVA, deberán presentar la Declaración Anual Consolidada del impuesto sobre las. ventas -IVA correspondiente al año gravable 2021, en las fechas que se indican a continuación</t>
    </r>
    <r>
      <rPr>
        <sz val="12"/>
        <color theme="1"/>
        <rFont val="Arial"/>
        <family val="2"/>
      </rPr>
      <t>, dependiendo del último dígito del Número de Identificación Tributaria -NIT del declarante, en el formulario que prescriba la Unidad Administrativa Especial Dirección de Impuestos y Aduanas Nacionales -DIAN</t>
    </r>
  </si>
  <si>
    <r>
      <rPr>
        <b/>
        <sz val="12"/>
        <color theme="1"/>
        <rFont val="Arial"/>
        <family val="2"/>
      </rPr>
      <t>Artículo 1.6.1.13.2.52. Plazos para pagar el anticipo bimestral del régimen simple de tributación -SIMPLE</t>
    </r>
    <r>
      <rPr>
        <sz val="12"/>
        <color theme="1"/>
        <rFont val="Arial"/>
        <family val="2"/>
      </rPr>
      <t xml:space="preserve">. Los contribuyentes del régimen simple de tributación -SIMPLE </t>
    </r>
    <r>
      <rPr>
        <b/>
        <sz val="12"/>
        <color rgb="FFFF0000"/>
        <rFont val="Arial"/>
        <family val="2"/>
      </rPr>
      <t>deben pagar cada bimestre el anticipo a título de este régimen por el año gravable 2022</t>
    </r>
    <r>
      <rPr>
        <sz val="12"/>
        <color theme="1"/>
        <rFont val="Arial"/>
        <family val="2"/>
      </rPr>
      <t>, mediante el recibo de pago electrónico del SIMPLE que prescriba la Unidad Administrativa Especial Dirección de Impuestos y Aduanas Nacionales -DIAN, el cual se debe presentar de forma obligatoria con independencia que haya saldo a pagar por este concepto y a través de las redes electrónicas y entidades financieras, que determine el Gobierno nacional.</t>
    </r>
  </si>
  <si>
    <t>Los periodos bimestrales serán: enero-febrero; marzo-abril; mayo-junio; julioagosto, septiembre-octubre y noviembre-diciembre</t>
  </si>
  <si>
    <t>Los vencimientos para la presentación y pago del anticipo bimestral del año 2022 serán los siguientes:</t>
  </si>
  <si>
    <t>Enero - Febrero 2022 hasta el dia</t>
  </si>
  <si>
    <t>Marzo - Abril 2022 hasta el dia</t>
  </si>
  <si>
    <t>Mayo - junio 2022 hasta el dia</t>
  </si>
  <si>
    <t>Julio - Agosto 2022 hasta el dia</t>
  </si>
  <si>
    <t>Septiembre - Octubre 2022 hasta el dia</t>
  </si>
  <si>
    <t>Noviembre - Dicbre 2022 hasta el dia</t>
  </si>
  <si>
    <r>
      <rPr>
        <b/>
        <sz val="12"/>
        <color rgb="FFFF0000"/>
        <rFont val="Arial"/>
        <family val="2"/>
      </rPr>
      <t>1. Declaración y pago bimestral</t>
    </r>
    <r>
      <rPr>
        <sz val="12"/>
        <color theme="1"/>
        <rFont val="Arial"/>
        <family val="2"/>
      </rPr>
      <t xml:space="preserve"> para aquellos responsables de este impuesto, </t>
    </r>
    <r>
      <rPr>
        <b/>
        <sz val="12"/>
        <color rgb="FF0066FF"/>
        <rFont val="Arial"/>
        <family val="2"/>
      </rPr>
      <t>grandes contribuyentes y aquellas personas jurídicas y naturales</t>
    </r>
    <r>
      <rPr>
        <b/>
        <sz val="12"/>
        <color rgb="FFFF0000"/>
        <rFont val="Arial"/>
        <family val="2"/>
      </rPr>
      <t xml:space="preserve"> cuyos ingresos brutos a 31 de diciembre del año gravable anterior</t>
    </r>
    <r>
      <rPr>
        <b/>
        <sz val="12"/>
        <color rgb="FF0066FF"/>
        <rFont val="Arial"/>
        <family val="2"/>
      </rPr>
      <t xml:space="preserve"> sean iguales o superiores a noventa y dos mil (92.000) UVT</t>
    </r>
    <r>
      <rPr>
        <sz val="12"/>
        <color theme="1"/>
        <rFont val="Arial"/>
        <family val="2"/>
      </rPr>
      <t xml:space="preserve"> (</t>
    </r>
    <r>
      <rPr>
        <b/>
        <sz val="12"/>
        <color rgb="FFFF0000"/>
        <rFont val="Arial"/>
        <family val="2"/>
      </rPr>
      <t>92.000 UVT del año 2021 son 3.340.336.000</t>
    </r>
    <r>
      <rPr>
        <sz val="12"/>
        <color theme="1"/>
        <rFont val="Arial"/>
        <family val="2"/>
      </rPr>
      <t xml:space="preserve">) y para los responsables de que tratan los artículos </t>
    </r>
    <r>
      <rPr>
        <b/>
        <sz val="12"/>
        <color rgb="FFFF0000"/>
        <rFont val="Arial"/>
        <family val="2"/>
      </rPr>
      <t>477 (Bienes exentos derecho a compensación y/o devolución) y 481</t>
    </r>
    <r>
      <rPr>
        <sz val="12"/>
        <color theme="1"/>
        <rFont val="Arial"/>
        <family val="2"/>
      </rPr>
      <t xml:space="preserve"> (</t>
    </r>
    <r>
      <rPr>
        <b/>
        <sz val="12"/>
        <color theme="4" tint="-0.249977111117893"/>
        <rFont val="Arial"/>
        <family val="2"/>
      </rPr>
      <t>Bienes exenos con derecho a devolución bimesral</t>
    </r>
    <r>
      <rPr>
        <sz val="12"/>
        <color theme="1"/>
        <rFont val="Arial"/>
        <family val="2"/>
      </rPr>
      <t>) de este Estatuto. Los períodos bimestrales son: enero-febrero; marzo-abril; mayo-junio; julio-agosto; septiembre-octubre; y noviembre-diciembre.</t>
    </r>
  </si>
  <si>
    <t>AÑO 2022: AÑO ANTERIOR 2021 UVT 36308</t>
  </si>
  <si>
    <t>AÑO 2022: AÑO ANTERIOR 2021 UVT 36.308 - 92.000 uvt</t>
  </si>
  <si>
    <t>- de 3.340.336.000</t>
  </si>
  <si>
    <t xml:space="preserve">Para el año 2022: </t>
  </si>
  <si>
    <t>Año anterior 2021; uvt 36308</t>
  </si>
  <si>
    <t>Año anterior 2021;  smlmv</t>
  </si>
  <si>
    <r>
      <rPr>
        <b/>
        <sz val="12"/>
        <color theme="1"/>
        <rFont val="Arial"/>
        <family val="2"/>
      </rPr>
      <t>ARTÍCULO 56°</t>
    </r>
    <r>
      <rPr>
        <sz val="12"/>
        <color theme="1"/>
        <rFont val="Arial"/>
        <family val="2"/>
      </rPr>
      <t>. Adiciónese un inciso segundo al parágrafo 4 del artículo 437 del  E.T.</t>
    </r>
  </si>
  <si>
    <r>
      <t xml:space="preserve">Por el año 2022, </t>
    </r>
    <r>
      <rPr>
        <b/>
        <sz val="12"/>
        <color theme="1"/>
        <rFont val="Arial"/>
        <family val="2"/>
      </rPr>
      <t>tampoco serán responsables del impuesto sobre las ventas - IVA</t>
    </r>
    <r>
      <rPr>
        <sz val="12"/>
        <color theme="1"/>
        <rFont val="Arial"/>
        <family val="2"/>
      </rPr>
      <t xml:space="preserve">, los contribuyentes del impuesto unificado </t>
    </r>
    <r>
      <rPr>
        <b/>
        <sz val="12"/>
        <color theme="1"/>
        <rFont val="Arial"/>
        <family val="2"/>
      </rPr>
      <t>bajo el Régimen Simple de Tributación -SIMPLE</t>
    </r>
    <r>
      <rPr>
        <sz val="12"/>
        <color theme="1"/>
        <rFont val="Arial"/>
        <family val="2"/>
      </rPr>
      <t xml:space="preserve"> cuando únicamente desarrollen actividades de </t>
    </r>
    <r>
      <rPr>
        <b/>
        <sz val="12"/>
        <color theme="1"/>
        <rFont val="Arial"/>
        <family val="2"/>
      </rPr>
      <t xml:space="preserve">expendio de comidas y bebidas de las que trata el numeral 4 </t>
    </r>
    <r>
      <rPr>
        <sz val="12"/>
        <color theme="1"/>
        <rFont val="Arial"/>
        <family val="2"/>
      </rPr>
      <t>del artículo 908 del Estatuto Tributario</t>
    </r>
  </si>
  <si>
    <r>
      <rPr>
        <b/>
        <sz val="12"/>
        <color theme="1"/>
        <rFont val="Arial"/>
        <family val="2"/>
      </rPr>
      <t>ARTÍCULO 57°</t>
    </r>
    <r>
      <rPr>
        <sz val="12"/>
        <color theme="1"/>
        <rFont val="Arial"/>
        <family val="2"/>
      </rPr>
      <t>. Adiciónese el parágrafo 5 al artículo 512-13 del Estatuto Tributario</t>
    </r>
  </si>
  <si>
    <r>
      <rPr>
        <b/>
        <sz val="12"/>
        <color theme="1"/>
        <rFont val="Arial"/>
        <family val="2"/>
      </rPr>
      <t xml:space="preserve">PARÁGRAFO 5. </t>
    </r>
    <r>
      <rPr>
        <sz val="12"/>
        <color theme="1"/>
        <rFont val="Arial"/>
        <family val="2"/>
      </rPr>
      <t xml:space="preserve">Por el año 2022, </t>
    </r>
    <r>
      <rPr>
        <b/>
        <sz val="12"/>
        <color theme="1"/>
        <rFont val="Arial"/>
        <family val="2"/>
      </rPr>
      <t>no serán responsables del Impuesto Nacional al Consum</t>
    </r>
    <r>
      <rPr>
        <sz val="12"/>
        <color theme="1"/>
        <rFont val="Arial"/>
        <family val="2"/>
      </rPr>
      <t xml:space="preserve">o de restaurantes y bares a que hace referencia el numeral 3 del artículo 512-1 de este Estatuto, </t>
    </r>
    <r>
      <rPr>
        <b/>
        <sz val="12"/>
        <color rgb="FFFF0000"/>
        <rFont val="Arial"/>
        <family val="2"/>
      </rPr>
      <t xml:space="preserve">los contribuyentes del impuesto unificado bajo el Régimen Simple de Tributación -SIMPLE cuando únicamente desarrollen actividades de expendio de comidas y bebidas </t>
    </r>
    <r>
      <rPr>
        <sz val="12"/>
        <color theme="1"/>
        <rFont val="Arial"/>
        <family val="2"/>
      </rPr>
      <t>de las que trata el numeral 4 del artículo 908 del Estatuto Tributario</t>
    </r>
  </si>
  <si>
    <t>Artículo 45. Exención transitoria del Impuesto sobre las Ventas (IVA) para servicios de hotelerÍa y turismo. Se encuentra exentos del Impuesto sobre las Ventas (!VA) desde la vigencia de la presente ley y hasta el treinta y uno (31) de diciembre de 2021 la prestación de los servicios de hotelería y de turismo a residentes en Colombia, incluyendo turismo de reuniones, congresos, convenciones y exhibiciones, y entretenimiento, por quienes cuenten con inscripción activa en el Registro Nacional de Turismo y presten sus servicios en el ejercicio de las funciones o actividades que según la ley corresponden a los prestadores de servicios turísticos.</t>
  </si>
  <si>
    <t>4. Los beneficios previstos en los artículos 40 y 45 de la Ley 2068 de 2020 estarán vigentes hasta el 31 de diciembre de 2022.</t>
  </si>
  <si>
    <t>LEY 2155 DE 2014.- Artículo 65.- Vigencia y derogatorias</t>
  </si>
  <si>
    <t>UVT 2022</t>
  </si>
  <si>
    <t>Declaracion 2023</t>
  </si>
  <si>
    <t>TARIFAS  DE  IMPUESTO  DE  RENTA Y COMPLEMENTARIOS - AG 2022</t>
  </si>
  <si>
    <t xml:space="preserve">No fue modificada por la Ley 2155 del 14 de septiembre de 2021.  En el año 2023 la declaración del año gravable 2022 las tarifa continúan iguales al año 2021. </t>
  </si>
  <si>
    <t>TARIFAS  DE  IMPUESTO  DE  RENTA Y COMPLEMENTARIOS - AG 2021 - PRESENTAR 2022</t>
  </si>
  <si>
    <r>
      <t xml:space="preserve">1. Que el </t>
    </r>
    <r>
      <rPr>
        <b/>
        <sz val="11"/>
        <color rgb="FFFF0000"/>
        <rFont val="Arial"/>
        <family val="2"/>
      </rPr>
      <t>patrimonio bruto</t>
    </r>
    <r>
      <rPr>
        <b/>
        <sz val="11"/>
        <color theme="1"/>
        <rFont val="Arial"/>
        <family val="2"/>
      </rPr>
      <t xml:space="preserve"> en el último día del año gravable 2021 no exceda de cuatro mil quinientas (4.500) UVT ($163.386.000).</t>
    </r>
  </si>
  <si>
    <t>2. Que los ingresos brutos sean inferiores a mil cuatrocientas (1.400) UVT ($50.831.000).</t>
  </si>
  <si>
    <t>3. Que los consumos mediante tarjeta de crédito no excedan de mil cuatrocientas (1.400) UVT ($50.831.000)</t>
  </si>
  <si>
    <t xml:space="preserve"> 4. Que el valor total de compras y consumos no supere las mil cuatrocientas (1.400) UVT ($50.831.000)</t>
  </si>
  <si>
    <t>5. Que el valor total acumulado de consignaciones bancarias, depósitos o inversiones financieras, no excedan de mil cuatrocientas (1.400) UVT ($50.831.000).</t>
  </si>
  <si>
    <t>NO DECLARAN EN EL AÑO GRAVABLE 2021 - EN EL AÑO 2022</t>
  </si>
  <si>
    <r>
      <t xml:space="preserve">"Artículo 1.6.1.13.2.6. </t>
    </r>
    <r>
      <rPr>
        <b/>
        <sz val="11"/>
        <color rgb="FF0066FF"/>
        <rFont val="Arial"/>
        <family val="2"/>
      </rPr>
      <t>Contribuyentes obligados a presentar declaración del impuesto sobre la renta y complementario</t>
    </r>
    <r>
      <rPr>
        <sz val="11"/>
        <color theme="1"/>
        <rFont val="Arial"/>
        <family val="2"/>
      </rPr>
      <t xml:space="preserve">. </t>
    </r>
    <r>
      <rPr>
        <b/>
        <sz val="11"/>
        <color rgb="FFFF0000"/>
        <rFont val="Arial"/>
        <family val="2"/>
      </rPr>
      <t xml:space="preserve">Están obligados a presentar declaración del impuesto sobre la renta y complementario por el año gravable 2021, todos los contribuyentes </t>
    </r>
    <r>
      <rPr>
        <b/>
        <u/>
        <sz val="11"/>
        <color rgb="FFFF0000"/>
        <rFont val="Arial"/>
        <family val="2"/>
      </rPr>
      <t>sometidos a dicho impuesto</t>
    </r>
    <r>
      <rPr>
        <u/>
        <sz val="11"/>
        <color theme="1"/>
        <rFont val="Arial"/>
        <family val="2"/>
      </rPr>
      <t xml:space="preserve">, </t>
    </r>
    <r>
      <rPr>
        <b/>
        <sz val="11"/>
        <color theme="2" tint="-0.749992370372631"/>
        <rFont val="Arial"/>
        <family val="2"/>
      </rPr>
      <t>con excepción de los que se enumeran en el artículo siguiente</t>
    </r>
  </si>
  <si>
    <t>Grandres Contribuyentes.- Declaración Anual de  activos en el exterior.- En el plazo de declaración  y pago de segunda cuota.  -   AÑO 2022</t>
  </si>
  <si>
    <r>
      <rPr>
        <b/>
        <sz val="12"/>
        <color theme="1"/>
        <rFont val="Arial"/>
        <family val="2"/>
      </rPr>
      <t>Artículo 1.6.1.13.2.18. Declaración por fracción de año</t>
    </r>
    <r>
      <rPr>
        <sz val="12"/>
        <color theme="1"/>
        <rFont val="Arial"/>
        <family val="2"/>
      </rPr>
      <t xml:space="preserve">. Las declaraciones tributarias de las personas jurídicas y asimiladas a estas, así como de las sucesiones que se liquidaron durante el año gravable 2021 o se liquiden durante el año gravable 2022, </t>
    </r>
    <r>
      <rPr>
        <b/>
        <sz val="12"/>
        <color rgb="FFFF0000"/>
        <rFont val="Arial"/>
        <family val="2"/>
      </rPr>
      <t>podrán presentarse a partir del día siguiente a su liquidación ya más tardar en las fechas de vencimiento indicadas para el grupo de contribuyentes o declarantes del año gravable correspondiente al cual pertenecerían de no haberse liquidado</t>
    </r>
    <r>
      <rPr>
        <sz val="12"/>
        <color theme="1"/>
        <rFont val="Arial"/>
        <family val="2"/>
      </rPr>
      <t>. Para este efecto se habilitará el último formulario vigente prescrito por la DIAN.</t>
    </r>
  </si>
  <si>
    <r>
      <rPr>
        <b/>
        <sz val="12"/>
        <color theme="1"/>
        <rFont val="Arial"/>
        <family val="2"/>
      </rPr>
      <t>Parágrafo</t>
    </r>
    <r>
      <rPr>
        <sz val="12"/>
        <color theme="1"/>
        <rFont val="Arial"/>
        <family val="2"/>
      </rPr>
      <t xml:space="preserve">. </t>
    </r>
    <r>
      <rPr>
        <b/>
        <sz val="12"/>
        <color rgb="FFFF0000"/>
        <rFont val="Arial"/>
        <family val="2"/>
      </rPr>
      <t>Las personas naturales residentes en el exterior deberán presentar la declaración del impuesto sobre la renta y complementarios en forma electrónica y dentro de los plazos antes señalados</t>
    </r>
    <r>
      <rPr>
        <sz val="12"/>
        <color theme="1"/>
        <rFont val="Arial"/>
        <family val="2"/>
      </rPr>
      <t>. Igualmente, el pago del impuesto y el anticipo podrán efectuarlo electrónicamente o en los bancos y demás entidades autorizadas en el territorio colombiano dentro del mismo plazo"</t>
    </r>
  </si>
  <si>
    <r>
      <rPr>
        <b/>
        <sz val="12"/>
        <color theme="1"/>
        <rFont val="Arial"/>
        <family val="2"/>
      </rPr>
      <t>Artículo 1.6.1.13.2.19. Declaración por cambio de titular de la inversión extranjera y enajenaciones indirectas</t>
    </r>
    <r>
      <rPr>
        <sz val="12"/>
        <color theme="1"/>
        <rFont val="Arial"/>
        <family val="2"/>
      </rPr>
      <t>. El titular de la inversión extranjera que realice la transacción o venta de su inversión, deberá presentar, dentro del mes siguiente a la fecha de la transacción o venta, "Declaración de renta por cambio de titularidad de la inversión extranjera y enajenaciones indirectas", con la liquidación y pago del impuesto que se genere por la respectiva operación, utilizando el Formulario que para el efecto prescriba la Unidad Administrativa Especial Dirección de Impuestos y Aduanas Nacionales -DIAN y podrá .realizarlo a través de su apoderado, agente o representante en Colombia del inversionista, según el caso.</t>
    </r>
  </si>
  <si>
    <r>
      <rPr>
        <b/>
        <sz val="12"/>
        <color theme="1"/>
        <rFont val="Arial"/>
        <family val="2"/>
      </rPr>
      <t>Artículo 1.6.1.13.2.8. Contribuyentes del régímen tributario especial que deben presentar declaración del impuesto sobre la renta y complementaríos</t>
    </r>
    <r>
      <rPr>
        <sz val="12"/>
        <color theme="1"/>
        <rFont val="Arial"/>
        <family val="2"/>
      </rPr>
      <t>. De conformidad con lo dispuesto en los artículos 19 Y 19­ 4 del Estatuto Tributario, modificados por los artículos 140 y 142 de la Ley 1819 de 2016, por el año gravable 2021 son contribuyentes del régimen tributario especial y deben presentar declaración del impuesto sobre la renta y complementarios:</t>
    </r>
  </si>
  <si>
    <r>
      <rPr>
        <b/>
        <sz val="12"/>
        <color rgb="FFFF0000"/>
        <rFont val="Arial"/>
        <family val="2"/>
      </rPr>
      <t>1. Las asociaciones, fundaciones y corporaciones constituidas como entidades sin ánimo de lucro</t>
    </r>
    <r>
      <rPr>
        <sz val="12"/>
        <color theme="1"/>
        <rFont val="Arial"/>
        <family val="2"/>
      </rPr>
      <t xml:space="preserve"> y que se encuentren calificadas dentro del régimen tributario especial por el año gravable 2021, de conformidad con lo establecido en el artículo 1.2.1.5.1.10. de este Decreto.</t>
    </r>
  </si>
  <si>
    <t>2. Las asociaciones, fundaciones y corporaciones constituidas como entidades sin ánimo de lucro que efectuaron el proceso de actualización en el régimen tributario especial y presentaron la memoria económica por el año gravable 2021, de conformidad con lo establecido en los artículos 1.2.1.5.1.13. y 1.6.1.13.2.25. de este Decreto y no fueron excluidas del Régimen Tributario Especial por ese año gravable.</t>
  </si>
  <si>
    <r>
      <rPr>
        <b/>
        <sz val="12"/>
        <color rgb="FFFF0000"/>
        <rFont val="Arial"/>
        <family val="2"/>
      </rPr>
      <t>3. Las cooperativas, sus asociaciones, uniones, ligas centrales,</t>
    </r>
    <r>
      <rPr>
        <sz val="12"/>
        <color theme="1"/>
        <rFont val="Arial"/>
        <family val="2"/>
      </rPr>
      <t xml:space="preserve"> organismos de grado superior de carácter financiero, las asociaciones mutualistas, instituciones auxiliares del cooperativismo, confederaciones cooperativas, previstas en la legislación cooperativa, vigilados por alguna superintendencia u organismo de control.</t>
    </r>
  </si>
  <si>
    <r>
      <rPr>
        <b/>
        <sz val="12"/>
        <color theme="1"/>
        <rFont val="Arial"/>
        <family val="2"/>
      </rPr>
      <t>Parágrafo</t>
    </r>
    <r>
      <rPr>
        <sz val="12"/>
        <color theme="1"/>
        <rFont val="Arial"/>
        <family val="2"/>
      </rPr>
      <t>. Las entidades a que se refieren los numerales anteriores que renuncien, sean excluidas, o que no realizaron el proceso de permanencia, actualización o presentación de la memoria económica cuando hubiera lugar a ello, en el Régimen Tributario Especial, serán contribuyentes del impuesto sobre la renta y complementarios conforme con las disposiciones aplicables a las sociedades nacionales, siempre y cuando no hayan sido objeto de nueva calificación por el mismo período gravable",</t>
    </r>
  </si>
  <si>
    <t>OBLIGADOS  A  DECLARAR  IMPUESTO  DE RENTA Y COMPLEMENTARIOS                                          AÑO GRAVABLE  2021 EN EL 2022</t>
  </si>
  <si>
    <r>
      <rPr>
        <b/>
        <sz val="12"/>
        <color theme="1"/>
        <rFont val="Arial"/>
        <family val="2"/>
      </rPr>
      <t>Artículo 1.6.1.13.2.25. Actualización del Régimen Tributario Especial y presentación de la memoria económica.</t>
    </r>
    <r>
      <rPr>
        <sz val="12"/>
        <color theme="1"/>
        <rFont val="Arial"/>
        <family val="2"/>
      </rPr>
      <t xml:space="preserve"> Los contribuyentes del Régimen Tributario Especial, así como las cooperativas, deberán actualizar el registro web de que trata el artículo 364-5 del Estatuto Tributario y el artículo 1.2.1.5.1.16. de este Decreto, a más tardar el treinta y uno (31) de marzo de 2022, independientemente del último dígito del Número de Identificación -NIT, sin tener en cuenta el dígito de verificación.</t>
    </r>
  </si>
  <si>
    <t>La memoria económica a que se refiere el artículo 356-3 del Estatuto Tributario deberán presentarla los contribuyentes del Régimen Tributario Especial, así como las cooperativas, que hayan obtenido en el año gravable 2021 ingresos superiores a ciento sesenta mil (160.000) Unidades de Valor Tributario -UVT ($ 5.809.280.000 año 2021) a más tardar el treinta y uno (31) de marzo de 2022, independientemente del último dígito del Número de Identificación Tributaria ­ NIT, sin tener en cuenta el dígito de verificación</t>
  </si>
  <si>
    <r>
      <rPr>
        <b/>
        <sz val="12"/>
        <color theme="1"/>
        <rFont val="Arial"/>
        <family val="2"/>
      </rPr>
      <t>Parágrafo. Los contribuyentes del Régimen Tributario Especial, así como las cooperativas que no realicen dentro del plazo establecido en este artículo el proceso de actualización y envío de la memoria económica</t>
    </r>
    <r>
      <rPr>
        <sz val="12"/>
        <color theme="1"/>
        <rFont val="Arial"/>
        <family val="2"/>
      </rPr>
      <t xml:space="preserve">, </t>
    </r>
    <r>
      <rPr>
        <b/>
        <sz val="12"/>
        <color rgb="FFFF0000"/>
        <rFont val="Arial"/>
        <family val="2"/>
      </rPr>
      <t>serán contribuyentes del impuesto de renta y complementarios del régimen ordinario a partir del año gravable 2022, y deberán actualizar el Registro Único Tributario -RUT</t>
    </r>
  </si>
  <si>
    <t>La Unidad Administrativa Especial Dirección de Impuestos y Aduanas Nacionales -DIAN de oficio podrá actualizar el Registro Único Tributario -RUT."</t>
  </si>
  <si>
    <r>
      <t>1</t>
    </r>
    <r>
      <rPr>
        <b/>
        <sz val="12"/>
        <color theme="1"/>
        <rFont val="Arial"/>
        <family val="2"/>
      </rPr>
      <t>. Los contribuyentes del impuesto sobre la renta y complementarios, obligados a la aplicación de las normas que regulan el régimen de precios de transferencia</t>
    </r>
    <r>
      <rPr>
        <sz val="12"/>
        <color theme="1"/>
        <rFont val="Arial"/>
        <family val="2"/>
      </rPr>
      <t xml:space="preserve">, </t>
    </r>
    <r>
      <rPr>
        <b/>
        <sz val="12"/>
        <color rgb="FFFF0000"/>
        <rFont val="Arial"/>
        <family val="2"/>
      </rPr>
      <t>cuyo patrimonio bruto en el último día del año o período gravable sea igualo superior al equivalente a cien mil (100.000) UVT ($ 3.630.800.000) o cuyos ingresos brutos del respectivo año sean iguales o superiores al equivalente a sesenta y un mil (61.000) UVT ($ 2.214.788</t>
    </r>
    <r>
      <rPr>
        <sz val="12"/>
        <color theme="1"/>
        <rFont val="Arial"/>
        <family val="2"/>
      </rPr>
      <t>.</t>
    </r>
    <r>
      <rPr>
        <sz val="12"/>
        <color rgb="FFFF0000"/>
        <rFont val="Arial"/>
        <family val="2"/>
      </rPr>
      <t>000</t>
    </r>
    <r>
      <rPr>
        <sz val="12"/>
        <color theme="1"/>
        <rFont val="Arial"/>
        <family val="2"/>
      </rPr>
      <t>) que celebren operaciones con vinculados conforme con lo establecido en los artículos 260-1 y 260-2 del Estatuto Tributario.</t>
    </r>
  </si>
  <si>
    <r>
      <t xml:space="preserve">Artículo 1.6.1.13.2.27. </t>
    </r>
    <r>
      <rPr>
        <b/>
        <sz val="12"/>
        <color theme="1"/>
        <rFont val="Arial"/>
        <family val="2"/>
      </rPr>
      <t>Contribuyentes obligados a presentar declaración informativa.</t>
    </r>
    <r>
      <rPr>
        <sz val="12"/>
        <color theme="1"/>
        <rFont val="Arial"/>
        <family val="2"/>
      </rPr>
      <t xml:space="preserve"> Están obligados a presentar declaración informativa de precios de transferencia por el año gravable 2021 :</t>
    </r>
  </si>
  <si>
    <r>
      <t xml:space="preserve">2. </t>
    </r>
    <r>
      <rPr>
        <b/>
        <sz val="12"/>
        <color theme="1"/>
        <rFont val="Arial"/>
        <family val="2"/>
      </rPr>
      <t>Los contribuyentes del impuesto sobre la renta y complementarios residentes o domiciliados en Colombia que en dicho año gravable hubieran realizado operaciones con personas, sociedades, entidades o empresas ubicadas, residentes o domiciliadas en jurisdicciones no cooperantes, de baja o nula imposición y regímenes tributarios preferente</t>
    </r>
    <r>
      <rPr>
        <sz val="12"/>
        <color theme="1"/>
        <rFont val="Arial"/>
        <family val="2"/>
      </rPr>
      <t>s, aunque su patrimonio bruto a treinta y uno (31) de diciembre de 2021 o sus ingresos brutos en el mismo año, hubieran sido inferiores a los montos señalados en el numeral anterior. (Parágrafo 2 artículo 260-7 Estatuto Tributario)."</t>
    </r>
  </si>
  <si>
    <t>Nit: 1 el 7 Septbre; 2 el 8; 3 el 9; 4 el 12; 5 el 13; 6 el 14; 7 el 15; 8 el 16; 9 el 19; y 0 el 20 de Septiembre</t>
  </si>
  <si>
    <t>Vencimientos de la Declaración Informativa</t>
  </si>
  <si>
    <t>Artículo 1.6.1.13.2.29. Plazos para presentar la documentación Comprobatoria. Por el año gravable 2021, deberán presentar la documentación comprobatoria de que trata el artículo 260-5 del Estatuto Tributario:</t>
  </si>
  <si>
    <t>Nit: 1 el 12 Dicbre; 2 el 13; 3 el 14; 4 el 15; 5 el 16; 6 el 14; 7 el 15; 8 el 16; 9 el 19; y 0 el 20 de Septiembre</t>
  </si>
  <si>
    <t>Plazos para el envío de los estados financieros a 31 de diciembre de 2021</t>
  </si>
  <si>
    <t>Los estados financieros consolidados y combinados, deben ser remitidos a más tardar el 31 de mayo de 2022</t>
  </si>
  <si>
    <t>UVT 2020</t>
  </si>
  <si>
    <t>100.000 UVT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</si>
</sst>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quot;$&quot;#,##0;[Red]\-&quot;$&quot;#,##0"/>
    <numFmt numFmtId="165" formatCode="_(* #,##0.00_);_(* \(#,##0.00\);_(* &quot;-&quot;??_);_(@_)"/>
    <numFmt numFmtId="166" formatCode="_-* #,##0.00\ _€_-;\-* #,##0.00\ _€_-;_-* &quot;-&quot;??\ _€_-;_-@_-"/>
    <numFmt numFmtId="167" formatCode="_ * #,##0_ ;_ * \-#,##0_ ;_ * &quot;-&quot;??_ ;_ @_ "/>
    <numFmt numFmtId="168" formatCode="&quot;$&quot;\ #,##0;[Red]&quot;$&quot;\ \-#,##0"/>
    <numFmt numFmtId="169" formatCode="_(* #,##0_);_(* \(#,##0\);_(* &quot;-&quot;??_);_(@_)"/>
    <numFmt numFmtId="170" formatCode="_(* #,##0_);_(* \(#,##0\);_(* &quot;-&quot;_);_(@_)"/>
    <numFmt numFmtId="171" formatCode="#,##0_ ;[Red]\-#,##0\ "/>
  </numFmts>
  <fonts count="84" x14ac:knownFonts="1">
    <font>
      <sz val="11"/>
      <color theme="1"/>
      <name val="Calibri"/>
      <family val="2"/>
      <scheme val="minor"/>
    </font>
    <font>
      <sz val="12"/>
      <name val="Arial"/>
      <family val="2"/>
    </font>
    <font>
      <b/>
      <sz val="12"/>
      <name val="Arial"/>
      <family val="2"/>
    </font>
    <font>
      <sz val="12"/>
      <color indexed="8"/>
      <name val="Arial"/>
      <family val="2"/>
    </font>
    <font>
      <b/>
      <sz val="12"/>
      <color indexed="8"/>
      <name val="Arial"/>
      <family val="2"/>
    </font>
    <font>
      <sz val="10"/>
      <name val="Arial"/>
      <family val="2"/>
    </font>
    <font>
      <b/>
      <sz val="12"/>
      <color indexed="10"/>
      <name val="Arial"/>
      <family val="2"/>
    </font>
    <font>
      <sz val="11"/>
      <color indexed="8"/>
      <name val="Calibri"/>
      <family val="2"/>
    </font>
    <font>
      <b/>
      <sz val="12"/>
      <color indexed="30"/>
      <name val="Arial"/>
      <family val="2"/>
    </font>
    <font>
      <sz val="12"/>
      <color indexed="30"/>
      <name val="Arial"/>
      <family val="2"/>
    </font>
    <font>
      <b/>
      <sz val="11"/>
      <color indexed="8"/>
      <name val="Arial"/>
      <family val="2"/>
    </font>
    <font>
      <sz val="12"/>
      <color indexed="8"/>
      <name val="Arial"/>
      <family val="2"/>
    </font>
    <font>
      <sz val="12"/>
      <color indexed="8"/>
      <name val="Arial"/>
      <family val="2"/>
    </font>
    <font>
      <b/>
      <sz val="12"/>
      <color indexed="8"/>
      <name val="Arial"/>
      <family val="2"/>
    </font>
    <font>
      <sz val="12"/>
      <color indexed="10"/>
      <name val="Arial"/>
      <family val="2"/>
    </font>
    <font>
      <sz val="8"/>
      <name val="Calibri"/>
      <family val="2"/>
    </font>
    <font>
      <u/>
      <sz val="12"/>
      <color indexed="8"/>
      <name val="Arial"/>
      <family val="2"/>
    </font>
    <font>
      <sz val="10"/>
      <name val="Arial"/>
      <family val="2"/>
    </font>
    <font>
      <b/>
      <sz val="12"/>
      <color theme="1"/>
      <name val="Arial"/>
      <family val="2"/>
    </font>
    <font>
      <sz val="12"/>
      <color theme="1"/>
      <name val="Arial"/>
      <family val="2"/>
    </font>
    <font>
      <sz val="11"/>
      <color theme="1"/>
      <name val="Arial"/>
      <family val="2"/>
    </font>
    <font>
      <b/>
      <sz val="12"/>
      <color rgb="FF000000"/>
      <name val="Arial"/>
      <family val="2"/>
    </font>
    <font>
      <b/>
      <sz val="12"/>
      <color rgb="FF2D5544"/>
      <name val="Arial"/>
      <family val="2"/>
    </font>
    <font>
      <sz val="12"/>
      <color rgb="FFFF0000"/>
      <name val="Arial"/>
      <family val="2"/>
    </font>
    <font>
      <b/>
      <sz val="12"/>
      <color rgb="FFFF0000"/>
      <name val="Arial"/>
      <family val="2"/>
    </font>
    <font>
      <sz val="12"/>
      <color rgb="FF000000"/>
      <name val="Arial"/>
      <family val="2"/>
    </font>
    <font>
      <b/>
      <sz val="12"/>
      <color theme="8" tint="-0.249977111117893"/>
      <name val="Arial"/>
      <family val="2"/>
    </font>
    <font>
      <b/>
      <sz val="11"/>
      <color theme="1"/>
      <name val="Arial"/>
      <family val="2"/>
    </font>
    <font>
      <sz val="11"/>
      <color theme="1"/>
      <name val="Calibri"/>
      <family val="2"/>
      <scheme val="minor"/>
    </font>
    <font>
      <b/>
      <sz val="11"/>
      <color rgb="FFFF0000"/>
      <name val="Arial"/>
      <family val="2"/>
    </font>
    <font>
      <sz val="11"/>
      <color rgb="FFFF0000"/>
      <name val="Arial"/>
      <family val="2"/>
    </font>
    <font>
      <b/>
      <sz val="11"/>
      <color rgb="FF3149F7"/>
      <name val="Arial"/>
      <family val="2"/>
    </font>
    <font>
      <b/>
      <sz val="11"/>
      <color rgb="FF339966"/>
      <name val="Arial"/>
      <family val="2"/>
    </font>
    <font>
      <sz val="11"/>
      <color rgb="FF000000"/>
      <name val="Arial"/>
      <family val="2"/>
    </font>
    <font>
      <sz val="10"/>
      <color theme="1"/>
      <name val="Arial"/>
      <family val="2"/>
    </font>
    <font>
      <b/>
      <sz val="10"/>
      <color theme="1"/>
      <name val="Arial"/>
      <family val="2"/>
    </font>
    <font>
      <b/>
      <sz val="10"/>
      <color rgb="FF3149F7"/>
      <name val="Arial"/>
      <family val="2"/>
    </font>
    <font>
      <b/>
      <sz val="10"/>
      <color theme="5" tint="-0.249977111117893"/>
      <name val="Arial"/>
      <family val="2"/>
    </font>
    <font>
      <b/>
      <u/>
      <sz val="10"/>
      <color rgb="FF3149F7"/>
      <name val="Arial"/>
      <family val="2"/>
    </font>
    <font>
      <sz val="10"/>
      <color rgb="FFFF0000"/>
      <name val="Arial"/>
      <family val="2"/>
    </font>
    <font>
      <b/>
      <u/>
      <sz val="10"/>
      <color theme="5" tint="-0.249977111117893"/>
      <name val="Arial"/>
      <family val="2"/>
    </font>
    <font>
      <b/>
      <sz val="11"/>
      <color rgb="FF000000"/>
      <name val="Arial"/>
      <family val="2"/>
    </font>
    <font>
      <b/>
      <sz val="11"/>
      <color theme="1"/>
      <name val="Calibri"/>
      <family val="2"/>
      <scheme val="minor"/>
    </font>
    <font>
      <b/>
      <sz val="12"/>
      <color rgb="FF0066FF"/>
      <name val="Arial"/>
      <family val="2"/>
    </font>
    <font>
      <sz val="11"/>
      <color indexed="8"/>
      <name val="Arial"/>
      <family val="2"/>
    </font>
    <font>
      <b/>
      <sz val="11"/>
      <color rgb="FF0066FF"/>
      <name val="Arial"/>
      <family val="2"/>
    </font>
    <font>
      <sz val="16.5"/>
      <color theme="1"/>
      <name val="Arial"/>
      <family val="2"/>
    </font>
    <font>
      <b/>
      <sz val="11"/>
      <color rgb="FFFF0000"/>
      <name val="Calibri"/>
      <family val="2"/>
      <scheme val="minor"/>
    </font>
    <font>
      <b/>
      <sz val="11"/>
      <color rgb="FF0066FF"/>
      <name val="Calibri"/>
      <family val="2"/>
      <scheme val="minor"/>
    </font>
    <font>
      <b/>
      <u/>
      <sz val="11"/>
      <color rgb="FFFF0000"/>
      <name val="Arial"/>
      <family val="2"/>
    </font>
    <font>
      <u/>
      <sz val="11"/>
      <color theme="1"/>
      <name val="Arial"/>
      <family val="2"/>
    </font>
    <font>
      <b/>
      <sz val="11"/>
      <color theme="9" tint="-0.499984740745262"/>
      <name val="Arial"/>
      <family val="2"/>
    </font>
    <font>
      <u/>
      <sz val="11"/>
      <color theme="10"/>
      <name val="Calibri"/>
      <family val="2"/>
      <scheme val="minor"/>
    </font>
    <font>
      <sz val="11"/>
      <name val="Arial"/>
      <family val="2"/>
    </font>
    <font>
      <b/>
      <sz val="9"/>
      <color rgb="FF000000"/>
      <name val="Arial"/>
      <family val="2"/>
    </font>
    <font>
      <sz val="9"/>
      <color rgb="FF4B4949"/>
      <name val="Arial"/>
      <family val="2"/>
    </font>
    <font>
      <sz val="12"/>
      <color rgb="FF4B4949"/>
      <name val="Arial"/>
      <family val="2"/>
    </font>
    <font>
      <sz val="12"/>
      <color rgb="FF0073FF"/>
      <name val="Arial"/>
      <family val="2"/>
    </font>
    <font>
      <b/>
      <sz val="12"/>
      <color rgb="FF4B4949"/>
      <name val="Arial"/>
      <family val="2"/>
    </font>
    <font>
      <b/>
      <sz val="14"/>
      <color theme="1"/>
      <name val="Arial"/>
      <family val="2"/>
    </font>
    <font>
      <b/>
      <sz val="9"/>
      <color rgb="FF4B4949"/>
      <name val="Arial"/>
      <family val="2"/>
    </font>
    <font>
      <b/>
      <sz val="12"/>
      <color theme="1"/>
      <name val="Calibri"/>
      <family val="2"/>
      <scheme val="minor"/>
    </font>
    <font>
      <sz val="12"/>
      <color rgb="FF555555"/>
      <name val="Arial"/>
      <family val="2"/>
    </font>
    <font>
      <sz val="12"/>
      <color rgb="FF0089E1"/>
      <name val="Arial"/>
      <family val="2"/>
    </font>
    <font>
      <b/>
      <sz val="12"/>
      <color rgb="FF339966"/>
      <name val="Arial"/>
      <family val="2"/>
    </font>
    <font>
      <b/>
      <sz val="11"/>
      <color rgb="FF008000"/>
      <name val="Arial"/>
      <family val="2"/>
    </font>
    <font>
      <b/>
      <sz val="12"/>
      <color rgb="FF008000"/>
      <name val="Arial"/>
      <family val="2"/>
    </font>
    <font>
      <b/>
      <sz val="12"/>
      <color theme="9" tint="-0.499984740745262"/>
      <name val="Arial"/>
      <family val="2"/>
    </font>
    <font>
      <b/>
      <u/>
      <sz val="12"/>
      <color rgb="FF0066FF"/>
      <name val="Arial"/>
      <family val="2"/>
    </font>
    <font>
      <b/>
      <sz val="11"/>
      <color theme="2" tint="-0.749992370372631"/>
      <name val="Arial"/>
      <family val="2"/>
    </font>
    <font>
      <sz val="12"/>
      <color rgb="FF0066FF"/>
      <name val="Arial"/>
      <family val="2"/>
    </font>
    <font>
      <b/>
      <sz val="12"/>
      <color rgb="FF0066CC"/>
      <name val="Arial"/>
      <family val="2"/>
    </font>
    <font>
      <b/>
      <u/>
      <sz val="12"/>
      <color rgb="FF0066CC"/>
      <name val="Arial"/>
      <family val="2"/>
    </font>
    <font>
      <b/>
      <sz val="11"/>
      <name val="Arial"/>
      <family val="2"/>
    </font>
    <font>
      <b/>
      <u/>
      <sz val="12"/>
      <color rgb="FFFF0000"/>
      <name val="Arial"/>
      <family val="2"/>
    </font>
    <font>
      <b/>
      <sz val="12"/>
      <color rgb="FF339933"/>
      <name val="Arial"/>
      <family val="2"/>
    </font>
    <font>
      <b/>
      <sz val="12"/>
      <color rgb="FF006600"/>
      <name val="Arial"/>
      <family val="2"/>
    </font>
    <font>
      <sz val="11"/>
      <color theme="10"/>
      <name val="Calibri"/>
      <family val="2"/>
      <scheme val="minor"/>
    </font>
    <font>
      <sz val="12.1"/>
      <color theme="1"/>
      <name val="Times New Roman"/>
      <family val="1"/>
    </font>
    <font>
      <b/>
      <sz val="11"/>
      <color theme="1"/>
      <name val="Times New Roman"/>
      <family val="1"/>
    </font>
    <font>
      <b/>
      <sz val="12"/>
      <color rgb="FF0070C0"/>
      <name val="Arial"/>
      <family val="2"/>
    </font>
    <font>
      <b/>
      <sz val="12"/>
      <color theme="4" tint="-0.249977111117893"/>
      <name val="Arial"/>
      <family val="2"/>
    </font>
    <font>
      <b/>
      <sz val="12"/>
      <color theme="8" tint="-0.499984740745262"/>
      <name val="Arial"/>
      <family val="2"/>
    </font>
    <font>
      <b/>
      <sz val="11"/>
      <color theme="4" tint="-0.249977111117893"/>
      <name val="Arial"/>
      <family val="2"/>
    </font>
  </fonts>
  <fills count="2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CCFF"/>
        <bgColor indexed="64"/>
      </patternFill>
    </fill>
    <fill>
      <patternFill patternType="solid">
        <fgColor rgb="FF00FF99"/>
        <bgColor indexed="64"/>
      </patternFill>
    </fill>
    <fill>
      <patternFill patternType="solid">
        <fgColor theme="6" tint="0.39997558519241921"/>
        <bgColor indexed="64"/>
      </patternFill>
    </fill>
    <fill>
      <patternFill patternType="solid">
        <fgColor rgb="FF66FFCC"/>
        <bgColor indexed="64"/>
      </patternFill>
    </fill>
    <fill>
      <patternFill patternType="solid">
        <fgColor theme="6" tint="0.59999389629810485"/>
        <bgColor indexed="64"/>
      </patternFill>
    </fill>
    <fill>
      <patternFill patternType="solid">
        <fgColor rgb="FFCCFFFF"/>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FF99"/>
        <bgColor indexed="64"/>
      </patternFill>
    </fill>
    <fill>
      <patternFill patternType="solid">
        <fgColor rgb="FF00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FF"/>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66FF"/>
        <bgColor indexed="64"/>
      </patternFill>
    </fill>
    <fill>
      <patternFill patternType="solid">
        <fgColor theme="4" tint="0.79998168889431442"/>
        <bgColor indexed="64"/>
      </patternFill>
    </fill>
    <fill>
      <patternFill patternType="solid">
        <fgColor rgb="FF00FFFF"/>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165" fontId="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5" fillId="0" borderId="0"/>
    <xf numFmtId="0" fontId="17" fillId="0" borderId="0"/>
    <xf numFmtId="9" fontId="7" fillId="0" borderId="0" applyFont="0" applyFill="0" applyBorder="0" applyAlignment="0" applyProtection="0"/>
    <xf numFmtId="9" fontId="5" fillId="0" borderId="0" applyFont="0" applyFill="0" applyBorder="0" applyAlignment="0" applyProtection="0"/>
    <xf numFmtId="170" fontId="7" fillId="0" borderId="0" applyFont="0" applyFill="0" applyBorder="0" applyAlignment="0" applyProtection="0"/>
    <xf numFmtId="41" fontId="28" fillId="0" borderId="0" applyFont="0" applyFill="0" applyBorder="0" applyAlignment="0" applyProtection="0"/>
    <xf numFmtId="9" fontId="28" fillId="0" borderId="0" applyFont="0" applyFill="0" applyBorder="0" applyAlignment="0" applyProtection="0"/>
    <xf numFmtId="0" fontId="52" fillId="0" borderId="0" applyNumberFormat="0" applyFill="0" applyBorder="0" applyAlignment="0" applyProtection="0"/>
  </cellStyleXfs>
  <cellXfs count="700">
    <xf numFmtId="0" fontId="0" fillId="0" borderId="0" xfId="0"/>
    <xf numFmtId="0" fontId="1" fillId="0" borderId="0" xfId="0" applyFont="1"/>
    <xf numFmtId="0" fontId="2" fillId="0" borderId="1" xfId="0" applyFont="1" applyBorder="1"/>
    <xf numFmtId="0" fontId="2" fillId="0" borderId="1" xfId="0" applyFont="1" applyBorder="1" applyAlignment="1">
      <alignment horizontal="center"/>
    </xf>
    <xf numFmtId="0" fontId="8" fillId="0" borderId="1" xfId="0" applyFont="1" applyBorder="1" applyAlignment="1">
      <alignment horizontal="center" wrapText="1"/>
    </xf>
    <xf numFmtId="0" fontId="2" fillId="0" borderId="1" xfId="0" applyFont="1" applyBorder="1" applyAlignment="1">
      <alignment horizontal="center" wrapText="1"/>
    </xf>
    <xf numFmtId="3" fontId="8" fillId="0" borderId="1" xfId="0" applyNumberFormat="1" applyFont="1" applyBorder="1" applyAlignment="1">
      <alignment horizontal="center" wrapText="1"/>
    </xf>
    <xf numFmtId="3" fontId="2" fillId="0" borderId="1" xfId="0" applyNumberFormat="1" applyFont="1" applyBorder="1" applyAlignment="1">
      <alignment horizontal="center" wrapText="1"/>
    </xf>
    <xf numFmtId="0" fontId="8" fillId="0" borderId="1" xfId="0" applyFont="1" applyBorder="1" applyAlignment="1">
      <alignment horizontal="center"/>
    </xf>
    <xf numFmtId="0" fontId="1" fillId="0" borderId="1" xfId="0" applyFont="1" applyBorder="1"/>
    <xf numFmtId="0" fontId="1" fillId="0" borderId="1" xfId="0" applyFont="1" applyBorder="1" applyAlignment="1">
      <alignment horizontal="right"/>
    </xf>
    <xf numFmtId="0" fontId="9" fillId="0" borderId="1" xfId="0" applyFont="1" applyBorder="1" applyAlignment="1">
      <alignment horizontal="center"/>
    </xf>
    <xf numFmtId="3" fontId="1" fillId="0" borderId="1" xfId="0" applyNumberFormat="1" applyFont="1" applyBorder="1"/>
    <xf numFmtId="167" fontId="1" fillId="0" borderId="1" xfId="1" applyNumberFormat="1" applyFont="1" applyBorder="1"/>
    <xf numFmtId="3" fontId="9" fillId="0" borderId="1" xfId="0" applyNumberFormat="1" applyFont="1" applyBorder="1" applyAlignment="1">
      <alignment horizontal="center"/>
    </xf>
    <xf numFmtId="167" fontId="1" fillId="0" borderId="1" xfId="0" applyNumberFormat="1" applyFont="1" applyBorder="1"/>
    <xf numFmtId="3" fontId="1" fillId="0" borderId="1" xfId="0" applyNumberFormat="1" applyFont="1" applyBorder="1" applyAlignment="1">
      <alignment horizontal="right"/>
    </xf>
    <xf numFmtId="0" fontId="1" fillId="0" borderId="1" xfId="0" applyFont="1" applyFill="1" applyBorder="1"/>
    <xf numFmtId="0" fontId="1" fillId="0" borderId="1" xfId="0" applyFont="1" applyFill="1" applyBorder="1" applyAlignment="1">
      <alignment horizontal="right"/>
    </xf>
    <xf numFmtId="0" fontId="1" fillId="0" borderId="1" xfId="0" applyFont="1" applyBorder="1" applyAlignment="1">
      <alignment wrapText="1"/>
    </xf>
    <xf numFmtId="0" fontId="9" fillId="0" borderId="1" xfId="0" applyFont="1" applyFill="1" applyBorder="1" applyAlignment="1">
      <alignment horizontal="center"/>
    </xf>
    <xf numFmtId="3" fontId="1" fillId="0" borderId="1" xfId="0" applyNumberFormat="1" applyFont="1" applyFill="1" applyBorder="1"/>
    <xf numFmtId="167" fontId="1" fillId="0" borderId="1" xfId="1" applyNumberFormat="1" applyFont="1" applyFill="1" applyBorder="1"/>
    <xf numFmtId="0" fontId="1" fillId="0" borderId="2" xfId="0" applyFont="1" applyBorder="1"/>
    <xf numFmtId="3" fontId="9" fillId="0" borderId="1" xfId="0" applyNumberFormat="1" applyFont="1" applyFill="1" applyBorder="1" applyAlignment="1">
      <alignment horizontal="center"/>
    </xf>
    <xf numFmtId="0" fontId="1" fillId="0" borderId="2" xfId="0" applyFont="1" applyFill="1" applyBorder="1"/>
    <xf numFmtId="3" fontId="1" fillId="0" borderId="1" xfId="0" applyNumberFormat="1" applyFont="1" applyFill="1" applyBorder="1" applyAlignment="1"/>
    <xf numFmtId="3" fontId="9" fillId="0" borderId="1" xfId="0" applyNumberFormat="1" applyFont="1" applyFill="1" applyBorder="1" applyAlignment="1">
      <alignment horizontal="center" wrapText="1"/>
    </xf>
    <xf numFmtId="3" fontId="1" fillId="0" borderId="1" xfId="0" applyNumberFormat="1" applyFont="1" applyFill="1" applyBorder="1" applyAlignment="1">
      <alignment wrapText="1"/>
    </xf>
    <xf numFmtId="165" fontId="10" fillId="0" borderId="1" xfId="1" applyFont="1" applyBorder="1" applyAlignment="1">
      <alignment horizontal="center"/>
    </xf>
    <xf numFmtId="0" fontId="11" fillId="0" borderId="0" xfId="0" applyFont="1" applyAlignment="1">
      <alignment horizontal="left" wrapText="1"/>
    </xf>
    <xf numFmtId="0" fontId="12" fillId="0" borderId="0" xfId="0" applyFont="1" applyAlignment="1">
      <alignment horizontal="justify"/>
    </xf>
    <xf numFmtId="0" fontId="11" fillId="0" borderId="0" xfId="0" applyFont="1" applyAlignment="1">
      <alignment wrapText="1"/>
    </xf>
    <xf numFmtId="0" fontId="1" fillId="0" borderId="0" xfId="0" applyFont="1" applyAlignment="1">
      <alignment wrapText="1"/>
    </xf>
    <xf numFmtId="0" fontId="12" fillId="0" borderId="0" xfId="0" applyFont="1"/>
    <xf numFmtId="0" fontId="13" fillId="0" borderId="0" xfId="0" applyFont="1" applyAlignment="1">
      <alignment horizontal="left" wrapText="1"/>
    </xf>
    <xf numFmtId="0" fontId="1" fillId="0" borderId="1" xfId="0" applyFont="1" applyFill="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center" wrapText="1"/>
    </xf>
    <xf numFmtId="10" fontId="1" fillId="0" borderId="1" xfId="8" applyNumberFormat="1" applyFont="1" applyBorder="1" applyAlignment="1">
      <alignment horizontal="center"/>
    </xf>
    <xf numFmtId="165" fontId="12" fillId="0" borderId="0" xfId="1" applyFont="1"/>
    <xf numFmtId="0" fontId="13" fillId="0" borderId="0" xfId="0" applyFont="1" applyAlignment="1">
      <alignment horizontal="left" vertical="top" wrapText="1"/>
    </xf>
    <xf numFmtId="0" fontId="12" fillId="0" borderId="0" xfId="0" applyFont="1" applyAlignment="1">
      <alignment horizontal="left"/>
    </xf>
    <xf numFmtId="0" fontId="10" fillId="0" borderId="0" xfId="0" applyFont="1" applyAlignment="1">
      <alignment horizontal="center" wrapText="1"/>
    </xf>
    <xf numFmtId="0" fontId="16" fillId="0" borderId="0" xfId="0" applyFont="1"/>
    <xf numFmtId="0" fontId="19" fillId="0" borderId="0" xfId="0" applyFont="1"/>
    <xf numFmtId="0" fontId="3" fillId="0" borderId="0" xfId="0" applyFont="1" applyAlignment="1">
      <alignment horizontal="left"/>
    </xf>
    <xf numFmtId="0" fontId="2" fillId="0" borderId="0" xfId="0" applyFont="1" applyAlignment="1"/>
    <xf numFmtId="0" fontId="2" fillId="0" borderId="0" xfId="6" applyFont="1" applyFill="1" applyAlignment="1"/>
    <xf numFmtId="0" fontId="1" fillId="0" borderId="0" xfId="6" applyFont="1" applyFill="1"/>
    <xf numFmtId="0" fontId="1" fillId="0" borderId="1" xfId="6" applyFont="1" applyFill="1" applyBorder="1"/>
    <xf numFmtId="0" fontId="1" fillId="0" borderId="1" xfId="6" applyFont="1" applyFill="1" applyBorder="1" applyAlignment="1">
      <alignment horizontal="center" vertical="center" wrapText="1"/>
    </xf>
    <xf numFmtId="3" fontId="0" fillId="0" borderId="0" xfId="0" applyNumberFormat="1"/>
    <xf numFmtId="0" fontId="1" fillId="2" borderId="0" xfId="0" applyFont="1" applyFill="1"/>
    <xf numFmtId="0" fontId="2" fillId="2" borderId="1" xfId="0" applyFont="1" applyFill="1" applyBorder="1" applyAlignment="1">
      <alignment horizontal="center"/>
    </xf>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0" fontId="1" fillId="2" borderId="1" xfId="0" applyFont="1" applyFill="1" applyBorder="1"/>
    <xf numFmtId="3" fontId="1" fillId="2" borderId="1" xfId="0" applyNumberFormat="1" applyFont="1" applyFill="1" applyBorder="1"/>
    <xf numFmtId="0" fontId="19" fillId="0" borderId="0" xfId="0" applyFont="1" applyAlignment="1">
      <alignment horizontal="left" wrapText="1"/>
    </xf>
    <xf numFmtId="0" fontId="12" fillId="0" borderId="0" xfId="0" applyFont="1" applyAlignment="1">
      <alignment horizontal="left"/>
    </xf>
    <xf numFmtId="0" fontId="25" fillId="0" borderId="0" xfId="0" applyFont="1" applyAlignment="1">
      <alignment horizontal="justify" vertical="center"/>
    </xf>
    <xf numFmtId="0" fontId="0" fillId="0" borderId="0" xfId="0" applyAlignment="1">
      <alignment horizontal="justify" vertical="center"/>
    </xf>
    <xf numFmtId="0" fontId="12" fillId="0" borderId="0" xfId="0" applyFont="1" applyAlignment="1">
      <alignment horizontal="left"/>
    </xf>
    <xf numFmtId="0" fontId="21" fillId="0" borderId="0" xfId="0" applyFont="1" applyAlignment="1">
      <alignment horizontal="center" vertical="center"/>
    </xf>
    <xf numFmtId="0" fontId="0" fillId="0" borderId="0" xfId="0" applyAlignment="1">
      <alignment vertical="center"/>
    </xf>
    <xf numFmtId="0" fontId="21" fillId="0" borderId="0" xfId="0" applyFont="1" applyAlignment="1">
      <alignment horizontal="justify" vertical="center"/>
    </xf>
    <xf numFmtId="0" fontId="25" fillId="0" borderId="0" xfId="0" applyFont="1" applyAlignment="1">
      <alignment horizontal="center" vertical="center" wrapText="1"/>
    </xf>
    <xf numFmtId="165" fontId="10" fillId="0" borderId="1" xfId="1" applyFont="1" applyBorder="1" applyAlignment="1">
      <alignment horizontal="center" vertical="center"/>
    </xf>
    <xf numFmtId="0" fontId="1" fillId="0" borderId="0" xfId="0" applyFont="1" applyAlignment="1">
      <alignment horizontal="center"/>
    </xf>
    <xf numFmtId="0" fontId="20" fillId="0" borderId="0" xfId="0" applyFont="1"/>
    <xf numFmtId="0" fontId="12" fillId="0" borderId="0" xfId="0" applyFont="1" applyAlignment="1">
      <alignment horizontal="left"/>
    </xf>
    <xf numFmtId="0" fontId="12" fillId="0" borderId="0" xfId="0" applyFont="1" applyAlignment="1">
      <alignment horizontal="left" wrapText="1"/>
    </xf>
    <xf numFmtId="0" fontId="19" fillId="0" borderId="0" xfId="0" applyFont="1" applyAlignment="1">
      <alignment horizontal="justify" vertical="center"/>
    </xf>
    <xf numFmtId="0" fontId="12" fillId="0" borderId="0" xfId="0" applyFont="1" applyAlignment="1">
      <alignment horizontal="left" vertical="top"/>
    </xf>
    <xf numFmtId="0" fontId="19" fillId="0" borderId="0" xfId="0" applyFont="1" applyFill="1"/>
    <xf numFmtId="3" fontId="19" fillId="0" borderId="0" xfId="0" applyNumberFormat="1" applyFont="1" applyFill="1"/>
    <xf numFmtId="0" fontId="19" fillId="0" borderId="1" xfId="0" applyFont="1" applyBorder="1" applyAlignment="1">
      <alignment horizontal="center" vertical="center"/>
    </xf>
    <xf numFmtId="0" fontId="19" fillId="0" borderId="1" xfId="0" applyFont="1" applyBorder="1" applyAlignment="1">
      <alignment horizontal="left" wrapText="1"/>
    </xf>
    <xf numFmtId="0" fontId="18" fillId="0" borderId="0" xfId="0" applyFont="1"/>
    <xf numFmtId="9" fontId="1" fillId="2" borderId="1" xfId="6" applyNumberFormat="1" applyFont="1" applyFill="1" applyBorder="1" applyAlignment="1">
      <alignment horizontal="center" vertical="center" wrapText="1"/>
    </xf>
    <xf numFmtId="0" fontId="1" fillId="2" borderId="1" xfId="6" applyFont="1" applyFill="1" applyBorder="1" applyAlignment="1">
      <alignment horizontal="center" vertical="center" wrapText="1"/>
    </xf>
    <xf numFmtId="0" fontId="12" fillId="0" borderId="0" xfId="0" applyFont="1" applyAlignment="1">
      <alignment horizontal="left"/>
    </xf>
    <xf numFmtId="0" fontId="2" fillId="0" borderId="0" xfId="6" applyFont="1" applyFill="1" applyAlignment="1">
      <alignment horizontal="center"/>
    </xf>
    <xf numFmtId="9" fontId="1" fillId="0" borderId="1" xfId="6" applyNumberFormat="1" applyFont="1" applyFill="1" applyBorder="1" applyAlignment="1">
      <alignment horizontal="center" vertical="center" wrapText="1"/>
    </xf>
    <xf numFmtId="3" fontId="1" fillId="0" borderId="1" xfId="6" applyNumberFormat="1" applyFont="1" applyFill="1" applyBorder="1" applyAlignment="1">
      <alignment horizontal="center" vertical="center" wrapText="1"/>
    </xf>
    <xf numFmtId="0" fontId="1" fillId="0" borderId="3" xfId="6" applyFont="1" applyFill="1" applyBorder="1" applyAlignment="1">
      <alignment horizontal="center" vertical="top" wrapText="1"/>
    </xf>
    <xf numFmtId="0" fontId="1" fillId="0" borderId="2" xfId="6" applyFont="1" applyFill="1" applyBorder="1" applyAlignment="1">
      <alignment horizontal="center" vertical="top" wrapText="1"/>
    </xf>
    <xf numFmtId="0" fontId="1" fillId="0" borderId="4" xfId="6" applyFont="1" applyFill="1" applyBorder="1" applyAlignment="1">
      <alignment horizontal="center" vertical="top" wrapText="1"/>
    </xf>
    <xf numFmtId="3" fontId="1" fillId="2" borderId="1" xfId="6" applyNumberFormat="1" applyFont="1" applyFill="1" applyBorder="1" applyAlignment="1">
      <alignment horizontal="center" vertical="center" wrapText="1"/>
    </xf>
    <xf numFmtId="0" fontId="22" fillId="0" borderId="0" xfId="0" applyFont="1" applyFill="1" applyAlignment="1">
      <alignment horizontal="left" wrapText="1"/>
    </xf>
    <xf numFmtId="0" fontId="19" fillId="0" borderId="0" xfId="0" applyFont="1" applyAlignment="1">
      <alignment horizontal="left" wrapText="1"/>
    </xf>
    <xf numFmtId="0" fontId="18" fillId="2" borderId="0" xfId="0" applyFont="1" applyFill="1" applyAlignment="1">
      <alignment horizontal="center"/>
    </xf>
    <xf numFmtId="0" fontId="19" fillId="0" borderId="0" xfId="0" applyFont="1" applyAlignment="1">
      <alignment vertical="top" wrapText="1"/>
    </xf>
    <xf numFmtId="0" fontId="18" fillId="0" borderId="0" xfId="0" applyFont="1" applyAlignment="1">
      <alignment horizontal="center" vertical="center" wrapText="1"/>
    </xf>
    <xf numFmtId="3" fontId="1" fillId="5" borderId="1" xfId="6" applyNumberFormat="1" applyFont="1" applyFill="1" applyBorder="1" applyAlignment="1">
      <alignment horizontal="center" vertical="center" wrapText="1"/>
    </xf>
    <xf numFmtId="0" fontId="12" fillId="0" borderId="0" xfId="0" applyFont="1" applyAlignment="1">
      <alignment horizontal="left"/>
    </xf>
    <xf numFmtId="0" fontId="22" fillId="0" borderId="0" xfId="0" applyFont="1" applyFill="1" applyAlignment="1">
      <alignment horizontal="left" wrapText="1"/>
    </xf>
    <xf numFmtId="0" fontId="27" fillId="0" borderId="0" xfId="0" applyFont="1" applyAlignment="1">
      <alignment horizontal="center"/>
    </xf>
    <xf numFmtId="0" fontId="20"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center" vertical="top"/>
    </xf>
    <xf numFmtId="3" fontId="1" fillId="0" borderId="0" xfId="6" applyNumberFormat="1" applyFont="1" applyFill="1"/>
    <xf numFmtId="0" fontId="34" fillId="0" borderId="0" xfId="0" applyFont="1" applyFill="1" applyBorder="1" applyAlignment="1">
      <alignment horizontal="left" vertical="top" wrapText="1"/>
    </xf>
    <xf numFmtId="3" fontId="19" fillId="0" borderId="0" xfId="0" applyNumberFormat="1" applyFont="1"/>
    <xf numFmtId="3" fontId="19" fillId="0" borderId="0" xfId="0" applyNumberFormat="1" applyFont="1" applyAlignment="1"/>
    <xf numFmtId="3" fontId="19" fillId="0" borderId="0" xfId="0" applyNumberFormat="1" applyFont="1" applyAlignment="1">
      <alignment horizontal="center"/>
    </xf>
    <xf numFmtId="3" fontId="19" fillId="0" borderId="0" xfId="0" applyNumberFormat="1" applyFont="1" applyFill="1" applyAlignment="1"/>
    <xf numFmtId="3" fontId="19" fillId="0" borderId="1" xfId="0" applyNumberFormat="1" applyFont="1" applyBorder="1" applyAlignment="1">
      <alignment horizontal="center"/>
    </xf>
    <xf numFmtId="10" fontId="19" fillId="7" borderId="1" xfId="11" applyNumberFormat="1" applyFont="1" applyFill="1" applyBorder="1"/>
    <xf numFmtId="0" fontId="19" fillId="0" borderId="1" xfId="0" applyFont="1" applyBorder="1"/>
    <xf numFmtId="10" fontId="19" fillId="7" borderId="1" xfId="0" applyNumberFormat="1" applyFont="1" applyFill="1" applyBorder="1"/>
    <xf numFmtId="3" fontId="19" fillId="7" borderId="1" xfId="0" applyNumberFormat="1" applyFont="1" applyFill="1" applyBorder="1" applyAlignment="1">
      <alignment horizontal="center"/>
    </xf>
    <xf numFmtId="10" fontId="19" fillId="7" borderId="1" xfId="0" applyNumberFormat="1" applyFont="1" applyFill="1" applyBorder="1" applyAlignment="1">
      <alignment horizontal="center"/>
    </xf>
    <xf numFmtId="3" fontId="21" fillId="2" borderId="1" xfId="0" applyNumberFormat="1" applyFont="1" applyFill="1" applyBorder="1" applyAlignment="1">
      <alignment horizontal="center" vertical="center" wrapText="1"/>
    </xf>
    <xf numFmtId="10" fontId="18" fillId="2" borderId="1" xfId="0" applyNumberFormat="1" applyFont="1" applyFill="1" applyBorder="1"/>
    <xf numFmtId="3" fontId="21" fillId="2" borderId="1" xfId="0" applyNumberFormat="1" applyFont="1" applyFill="1" applyBorder="1" applyAlignment="1">
      <alignment horizontal="left" vertical="center" wrapText="1"/>
    </xf>
    <xf numFmtId="3" fontId="19" fillId="8" borderId="1" xfId="0" applyNumberFormat="1" applyFont="1" applyFill="1" applyBorder="1" applyAlignment="1">
      <alignment horizontal="center"/>
    </xf>
    <xf numFmtId="3" fontId="25" fillId="8" borderId="1" xfId="0" applyNumberFormat="1" applyFont="1" applyFill="1" applyBorder="1" applyAlignment="1">
      <alignment horizontal="center" vertical="center" wrapText="1"/>
    </xf>
    <xf numFmtId="3" fontId="25" fillId="8" borderId="1" xfId="0" applyNumberFormat="1" applyFont="1" applyFill="1" applyBorder="1" applyAlignment="1">
      <alignment vertical="center" wrapText="1"/>
    </xf>
    <xf numFmtId="3" fontId="25" fillId="8" borderId="1" xfId="0" applyNumberFormat="1" applyFont="1" applyFill="1" applyBorder="1" applyAlignment="1">
      <alignment horizontal="left" vertical="center" wrapText="1"/>
    </xf>
    <xf numFmtId="3" fontId="19" fillId="9" borderId="1" xfId="0" applyNumberFormat="1" applyFont="1" applyFill="1" applyBorder="1" applyAlignment="1">
      <alignment horizontal="center"/>
    </xf>
    <xf numFmtId="3" fontId="25" fillId="9" borderId="1" xfId="0" applyNumberFormat="1" applyFont="1" applyFill="1" applyBorder="1" applyAlignment="1">
      <alignment horizontal="center" vertical="center" wrapText="1"/>
    </xf>
    <xf numFmtId="10" fontId="19" fillId="10" borderId="1" xfId="0" applyNumberFormat="1" applyFont="1" applyFill="1" applyBorder="1" applyAlignment="1">
      <alignment horizontal="center"/>
    </xf>
    <xf numFmtId="10" fontId="19" fillId="10" borderId="1" xfId="11" applyNumberFormat="1" applyFont="1" applyFill="1" applyBorder="1"/>
    <xf numFmtId="10" fontId="19" fillId="10" borderId="1" xfId="0" applyNumberFormat="1" applyFont="1" applyFill="1" applyBorder="1"/>
    <xf numFmtId="3"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3" fontId="19" fillId="0" borderId="1" xfId="0" applyNumberFormat="1" applyFont="1" applyBorder="1" applyAlignment="1"/>
    <xf numFmtId="3" fontId="19" fillId="0" borderId="1" xfId="0" applyNumberFormat="1" applyFont="1" applyBorder="1"/>
    <xf numFmtId="3" fontId="19"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19" fillId="0" borderId="1" xfId="0" applyFont="1" applyFill="1" applyBorder="1"/>
    <xf numFmtId="3"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27" fillId="0" borderId="0" xfId="0" applyFont="1" applyAlignment="1">
      <alignment horizontal="center"/>
    </xf>
    <xf numFmtId="0" fontId="20" fillId="0" borderId="0" xfId="0" applyFont="1" applyAlignment="1">
      <alignment horizontal="left" vertical="top" wrapText="1"/>
    </xf>
    <xf numFmtId="0" fontId="20" fillId="0" borderId="0" xfId="0" applyFont="1" applyFill="1" applyBorder="1" applyAlignment="1">
      <alignment horizontal="center"/>
    </xf>
    <xf numFmtId="169" fontId="44" fillId="0" borderId="0" xfId="1" applyNumberFormat="1" applyFont="1" applyFill="1" applyBorder="1"/>
    <xf numFmtId="3" fontId="44" fillId="0" borderId="0" xfId="0" applyNumberFormat="1" applyFont="1" applyFill="1" applyBorder="1" applyAlignment="1">
      <alignment horizontal="center" vertical="center" wrapText="1"/>
    </xf>
    <xf numFmtId="0" fontId="20" fillId="0" borderId="0" xfId="0" applyFont="1" applyFill="1" applyBorder="1"/>
    <xf numFmtId="3" fontId="20" fillId="0" borderId="0" xfId="0" applyNumberFormat="1" applyFont="1" applyFill="1"/>
    <xf numFmtId="0" fontId="20" fillId="0" borderId="0" xfId="0" applyFont="1" applyFill="1"/>
    <xf numFmtId="0" fontId="10" fillId="0" borderId="0" xfId="0" applyFont="1" applyFill="1" applyAlignment="1">
      <alignment horizontal="center"/>
    </xf>
    <xf numFmtId="0" fontId="10" fillId="2" borderId="0" xfId="0" applyFont="1" applyFill="1" applyAlignment="1">
      <alignment horizontal="center"/>
    </xf>
    <xf numFmtId="3" fontId="10" fillId="2" borderId="0" xfId="0" applyNumberFormat="1" applyFont="1" applyFill="1" applyAlignment="1">
      <alignment horizontal="center"/>
    </xf>
    <xf numFmtId="0" fontId="44" fillId="0" borderId="1" xfId="0" applyFont="1" applyFill="1" applyBorder="1" applyAlignment="1">
      <alignment horizontal="justify" vertical="top" wrapText="1"/>
    </xf>
    <xf numFmtId="0" fontId="44" fillId="0" borderId="1" xfId="0" applyFont="1" applyFill="1" applyBorder="1" applyAlignment="1">
      <alignment horizontal="center" vertical="top" wrapText="1"/>
    </xf>
    <xf numFmtId="0" fontId="44" fillId="10" borderId="1" xfId="0" applyFont="1" applyFill="1" applyBorder="1" applyAlignment="1">
      <alignment horizontal="center" vertical="top" wrapText="1"/>
    </xf>
    <xf numFmtId="3" fontId="44" fillId="0" borderId="1" xfId="0" applyNumberFormat="1" applyFont="1" applyFill="1" applyBorder="1" applyAlignment="1">
      <alignment horizontal="right" vertical="top" wrapText="1"/>
    </xf>
    <xf numFmtId="3" fontId="44" fillId="10"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9" fontId="44" fillId="0" borderId="1" xfId="0" applyNumberFormat="1" applyFont="1" applyFill="1" applyBorder="1" applyAlignment="1">
      <alignment horizontal="center" vertical="top" wrapText="1"/>
    </xf>
    <xf numFmtId="3" fontId="44" fillId="0" borderId="1" xfId="0" applyNumberFormat="1" applyFont="1" applyFill="1" applyBorder="1" applyAlignment="1">
      <alignment horizontal="center" vertical="top" wrapText="1"/>
    </xf>
    <xf numFmtId="3" fontId="44" fillId="0" borderId="1" xfId="0" applyNumberFormat="1" applyFont="1" applyFill="1" applyBorder="1" applyAlignment="1">
      <alignment horizontal="justify" vertical="center" wrapText="1"/>
    </xf>
    <xf numFmtId="9" fontId="44" fillId="0" borderId="1" xfId="0" applyNumberFormat="1" applyFont="1" applyFill="1" applyBorder="1" applyAlignment="1">
      <alignment horizontal="justify" vertical="top" wrapText="1"/>
    </xf>
    <xf numFmtId="0" fontId="45" fillId="0" borderId="0" xfId="0" applyFont="1" applyFill="1"/>
    <xf numFmtId="3" fontId="44" fillId="0" borderId="1" xfId="0" applyNumberFormat="1" applyFont="1" applyFill="1" applyBorder="1" applyAlignment="1">
      <alignment horizontal="justify" vertical="top" wrapText="1"/>
    </xf>
    <xf numFmtId="3" fontId="45" fillId="0" borderId="0" xfId="0" applyNumberFormat="1" applyFont="1" applyFill="1"/>
    <xf numFmtId="0" fontId="20" fillId="0" borderId="1" xfId="0" applyFont="1" applyFill="1" applyBorder="1"/>
    <xf numFmtId="169" fontId="44" fillId="0" borderId="0" xfId="1" applyNumberFormat="1" applyFont="1" applyFill="1" applyBorder="1" applyAlignment="1">
      <alignment vertical="center"/>
    </xf>
    <xf numFmtId="0" fontId="10" fillId="0" borderId="0" xfId="0" applyFont="1" applyFill="1" applyAlignment="1">
      <alignment horizontal="center" wrapText="1"/>
    </xf>
    <xf numFmtId="0" fontId="27" fillId="0" borderId="1" xfId="0" applyFont="1" applyFill="1" applyBorder="1" applyAlignment="1">
      <alignment horizontal="center" vertical="center"/>
    </xf>
    <xf numFmtId="0" fontId="27" fillId="2" borderId="1" xfId="0" applyFont="1" applyFill="1" applyBorder="1" applyAlignment="1">
      <alignment horizontal="center"/>
    </xf>
    <xf numFmtId="0" fontId="27" fillId="0" borderId="1" xfId="0" applyFont="1" applyBorder="1"/>
    <xf numFmtId="0" fontId="46"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wrapText="1"/>
    </xf>
    <xf numFmtId="14" fontId="20" fillId="0" borderId="0" xfId="0" applyNumberFormat="1" applyFont="1"/>
    <xf numFmtId="0" fontId="20" fillId="0" borderId="0" xfId="0" applyFont="1" applyAlignment="1">
      <alignment horizontal="right"/>
    </xf>
    <xf numFmtId="0" fontId="20" fillId="0" borderId="0" xfId="0" applyFont="1" applyAlignment="1">
      <alignment horizontal="right" vertical="center" wrapText="1"/>
    </xf>
    <xf numFmtId="0" fontId="20" fillId="0" borderId="0" xfId="0" applyFont="1" applyAlignment="1">
      <alignment horizontal="right" vertical="top" wrapText="1"/>
    </xf>
    <xf numFmtId="3" fontId="18" fillId="0" borderId="0" xfId="11" applyNumberFormat="1" applyFont="1"/>
    <xf numFmtId="3" fontId="18" fillId="0" borderId="0" xfId="0" applyNumberFormat="1" applyFont="1"/>
    <xf numFmtId="0" fontId="27" fillId="0" borderId="0" xfId="0" applyFont="1" applyAlignment="1">
      <alignment horizontal="center"/>
    </xf>
    <xf numFmtId="0" fontId="27" fillId="0" borderId="0" xfId="0" applyFont="1" applyAlignment="1">
      <alignment horizontal="left"/>
    </xf>
    <xf numFmtId="0" fontId="27" fillId="0" borderId="1" xfId="0" applyFont="1" applyBorder="1" applyAlignment="1">
      <alignment horizontal="left" wrapText="1"/>
    </xf>
    <xf numFmtId="0" fontId="20" fillId="0" borderId="1" xfId="0" applyFont="1" applyBorder="1" applyAlignment="1">
      <alignment horizontal="left" vertical="top" wrapText="1"/>
    </xf>
    <xf numFmtId="0" fontId="20" fillId="0" borderId="1" xfId="0" applyFont="1" applyBorder="1" applyAlignment="1">
      <alignment horizontal="left"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Border="1" applyAlignment="1">
      <alignment horizontal="center"/>
    </xf>
    <xf numFmtId="49" fontId="27" fillId="0" borderId="1" xfId="0" applyNumberFormat="1" applyFont="1" applyBorder="1" applyAlignment="1">
      <alignment horizontal="center" vertical="center"/>
    </xf>
    <xf numFmtId="0" fontId="20" fillId="0" borderId="0" xfId="0" applyFont="1" applyFill="1" applyAlignment="1">
      <alignment horizontal="left" vertical="top"/>
    </xf>
    <xf numFmtId="0" fontId="20" fillId="0" borderId="1" xfId="0" applyFont="1" applyBorder="1" applyAlignment="1">
      <alignment vertical="center" wrapText="1"/>
    </xf>
    <xf numFmtId="0" fontId="0" fillId="0" borderId="1" xfId="0" applyFill="1" applyBorder="1" applyAlignment="1">
      <alignment vertical="center" wrapText="1"/>
    </xf>
    <xf numFmtId="0" fontId="20" fillId="0" borderId="1" xfId="0" applyFont="1" applyFill="1" applyBorder="1" applyAlignment="1">
      <alignment horizontal="left" vertical="top"/>
    </xf>
    <xf numFmtId="0" fontId="20" fillId="0" borderId="1" xfId="0" applyFont="1" applyFill="1" applyBorder="1" applyAlignment="1">
      <alignment horizontal="left" wrapText="1"/>
    </xf>
    <xf numFmtId="0" fontId="2" fillId="0" borderId="0" xfId="0" applyFont="1" applyAlignment="1">
      <alignment horizontal="left" wrapText="1"/>
    </xf>
    <xf numFmtId="0" fontId="12" fillId="0" borderId="0" xfId="0" applyFont="1" applyAlignment="1">
      <alignment horizontal="left"/>
    </xf>
    <xf numFmtId="0" fontId="18" fillId="0" borderId="0" xfId="0" applyFont="1" applyAlignment="1">
      <alignment horizontal="center"/>
    </xf>
    <xf numFmtId="0" fontId="19" fillId="0" borderId="0" xfId="0" applyFont="1" applyAlignment="1">
      <alignment horizontal="left" vertical="top" wrapText="1"/>
    </xf>
    <xf numFmtId="0" fontId="18" fillId="0" borderId="0" xfId="0" applyFont="1" applyAlignment="1">
      <alignment horizontal="center" vertical="center" wrapText="1"/>
    </xf>
    <xf numFmtId="0" fontId="18" fillId="2" borderId="0" xfId="0" applyFont="1" applyFill="1" applyAlignment="1">
      <alignment horizontal="center"/>
    </xf>
    <xf numFmtId="0" fontId="18" fillId="0" borderId="0" xfId="0" applyFont="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19" fillId="0" borderId="0" xfId="0" applyFont="1" applyAlignment="1">
      <alignment wrapText="1"/>
    </xf>
    <xf numFmtId="0" fontId="18" fillId="0" borderId="0" xfId="0" applyFont="1" applyAlignment="1">
      <alignment horizontal="center" wrapText="1"/>
    </xf>
    <xf numFmtId="0" fontId="18" fillId="2" borderId="0" xfId="0" applyFont="1" applyFill="1" applyAlignment="1">
      <alignment horizontal="center" wrapText="1"/>
    </xf>
    <xf numFmtId="0" fontId="2" fillId="0" borderId="1" xfId="0" applyFont="1" applyBorder="1" applyAlignment="1">
      <alignment vertical="center" wrapText="1"/>
    </xf>
    <xf numFmtId="0" fontId="53" fillId="0" borderId="0" xfId="13" applyFont="1" applyAlignment="1">
      <alignment vertical="top" wrapText="1"/>
    </xf>
    <xf numFmtId="0" fontId="2" fillId="0" borderId="0" xfId="0" applyFont="1" applyAlignment="1">
      <alignment horizontal="left" vertical="top" wrapText="1"/>
    </xf>
    <xf numFmtId="0" fontId="19" fillId="2" borderId="0" xfId="0" applyFont="1" applyFill="1" applyAlignment="1">
      <alignment wrapText="1"/>
    </xf>
    <xf numFmtId="10" fontId="2" fillId="0" borderId="0" xfId="0" applyNumberFormat="1" applyFont="1" applyAlignment="1"/>
    <xf numFmtId="4" fontId="19" fillId="0" borderId="0" xfId="0" applyNumberFormat="1" applyFont="1"/>
    <xf numFmtId="3" fontId="21" fillId="0" borderId="1" xfId="0" applyNumberFormat="1" applyFont="1" applyFill="1" applyBorder="1" applyAlignment="1">
      <alignment horizontal="right" vertical="center" wrapText="1"/>
    </xf>
    <xf numFmtId="171" fontId="25" fillId="0" borderId="1" xfId="0" applyNumberFormat="1" applyFont="1" applyFill="1" applyBorder="1" applyAlignment="1">
      <alignment horizontal="righ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xf>
    <xf numFmtId="0" fontId="25" fillId="0" borderId="1" xfId="0" applyFont="1" applyFill="1" applyBorder="1" applyAlignment="1">
      <alignment horizontal="left" vertical="center"/>
    </xf>
    <xf numFmtId="9" fontId="25" fillId="0" borderId="1" xfId="0" applyNumberFormat="1" applyFont="1" applyFill="1" applyBorder="1" applyAlignment="1">
      <alignment horizontal="right" vertical="center" wrapText="1"/>
    </xf>
    <xf numFmtId="0" fontId="21" fillId="0" borderId="1" xfId="0" applyFont="1" applyFill="1" applyBorder="1" applyAlignment="1">
      <alignment horizontal="right" vertical="center" wrapText="1"/>
    </xf>
    <xf numFmtId="164" fontId="25" fillId="0" borderId="1" xfId="0" applyNumberFormat="1" applyFont="1" applyFill="1" applyBorder="1" applyAlignment="1">
      <alignment horizontal="right" vertical="center" wrapText="1"/>
    </xf>
    <xf numFmtId="3" fontId="25" fillId="0" borderId="1" xfId="0" applyNumberFormat="1" applyFont="1" applyFill="1" applyBorder="1" applyAlignment="1">
      <alignment horizontal="right" vertical="center" wrapText="1"/>
    </xf>
    <xf numFmtId="0" fontId="19" fillId="0" borderId="1" xfId="0" applyFont="1" applyFill="1" applyBorder="1" applyAlignment="1">
      <alignment horizontal="right"/>
    </xf>
    <xf numFmtId="0" fontId="19" fillId="0" borderId="0" xfId="0" applyFont="1" applyFill="1" applyAlignment="1">
      <alignment horizontal="right"/>
    </xf>
    <xf numFmtId="41" fontId="19" fillId="0" borderId="0" xfId="11" applyFont="1" applyFill="1"/>
    <xf numFmtId="3" fontId="43" fillId="0" borderId="0" xfId="0" applyNumberFormat="1" applyFont="1" applyAlignment="1">
      <alignment horizontal="center" vertical="center"/>
    </xf>
    <xf numFmtId="3" fontId="24" fillId="0" borderId="0" xfId="0" applyNumberFormat="1" applyFont="1" applyAlignment="1">
      <alignment horizontal="center" vertical="center"/>
    </xf>
    <xf numFmtId="0" fontId="27" fillId="0" borderId="0" xfId="0" applyFont="1" applyFill="1"/>
    <xf numFmtId="41" fontId="20" fillId="0" borderId="0" xfId="11" applyFont="1"/>
    <xf numFmtId="0" fontId="19"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wrapText="1"/>
    </xf>
    <xf numFmtId="0" fontId="25" fillId="0" borderId="0" xfId="0" applyFont="1" applyAlignment="1">
      <alignment horizontal="left" vertical="top" wrapText="1"/>
    </xf>
    <xf numFmtId="0" fontId="20" fillId="0" borderId="0" xfId="0" applyFont="1" applyAlignment="1">
      <alignment horizontal="left" vertical="center" wrapText="1"/>
    </xf>
    <xf numFmtId="0" fontId="18" fillId="12" borderId="0" xfId="0" applyFont="1" applyFill="1"/>
    <xf numFmtId="41" fontId="19" fillId="0" borderId="0" xfId="11" applyFont="1"/>
    <xf numFmtId="0" fontId="24" fillId="0" borderId="1" xfId="0" applyFont="1" applyBorder="1" applyAlignment="1">
      <alignment horizontal="left" wrapText="1"/>
    </xf>
    <xf numFmtId="0" fontId="64" fillId="0" borderId="0" xfId="0" applyFont="1" applyAlignment="1">
      <alignment vertical="top" wrapText="1"/>
    </xf>
    <xf numFmtId="0" fontId="19" fillId="0" borderId="1" xfId="0" applyFont="1" applyBorder="1" applyAlignment="1">
      <alignment vertical="center" wrapText="1"/>
    </xf>
    <xf numFmtId="0" fontId="19" fillId="0" borderId="1" xfId="0" applyFont="1" applyBorder="1" applyAlignment="1">
      <alignment horizontal="left" vertical="top" wrapText="1"/>
    </xf>
    <xf numFmtId="0" fontId="18" fillId="0" borderId="1" xfId="0" applyFont="1" applyBorder="1" applyAlignment="1">
      <alignment vertical="center"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0" fontId="65" fillId="0" borderId="1" xfId="0" applyFont="1" applyBorder="1" applyAlignment="1">
      <alignment horizontal="left" vertical="top" wrapText="1"/>
    </xf>
    <xf numFmtId="0" fontId="66" fillId="0" borderId="1" xfId="0" applyFont="1" applyBorder="1" applyAlignment="1">
      <alignment horizontal="left" vertical="top" wrapText="1"/>
    </xf>
    <xf numFmtId="0" fontId="18" fillId="2" borderId="0" xfId="0" applyFont="1" applyFill="1" applyAlignment="1">
      <alignment wrapText="1"/>
    </xf>
    <xf numFmtId="0" fontId="20" fillId="2" borderId="0" xfId="0" applyFont="1" applyFill="1" applyAlignment="1">
      <alignment horizontal="left" vertical="top" wrapText="1"/>
    </xf>
    <xf numFmtId="0" fontId="20" fillId="2" borderId="0" xfId="0" applyFont="1" applyFill="1" applyAlignment="1">
      <alignment wrapText="1"/>
    </xf>
    <xf numFmtId="171" fontId="25" fillId="2" borderId="1" xfId="0" applyNumberFormat="1" applyFont="1" applyFill="1" applyBorder="1" applyAlignment="1">
      <alignment horizontal="right" vertical="center" wrapText="1"/>
    </xf>
    <xf numFmtId="3" fontId="10" fillId="10" borderId="1" xfId="0" applyNumberFormat="1" applyFont="1" applyFill="1" applyBorder="1" applyAlignment="1">
      <alignment horizontal="center" vertical="top" wrapText="1"/>
    </xf>
    <xf numFmtId="41" fontId="20" fillId="0" borderId="0" xfId="11" applyFont="1" applyFill="1"/>
    <xf numFmtId="41" fontId="20" fillId="0" borderId="0" xfId="0" applyNumberFormat="1" applyFont="1" applyFill="1"/>
    <xf numFmtId="41" fontId="27" fillId="2" borderId="0" xfId="11" applyFont="1" applyFill="1"/>
    <xf numFmtId="0" fontId="18" fillId="0" borderId="0" xfId="0" applyFont="1" applyAlignment="1">
      <alignment horizontal="center"/>
    </xf>
    <xf numFmtId="0" fontId="18" fillId="0" borderId="0" xfId="0" applyFont="1" applyAlignment="1">
      <alignment horizontal="left" vertical="top" wrapText="1"/>
    </xf>
    <xf numFmtId="0" fontId="18" fillId="2" borderId="0" xfId="0" applyFont="1" applyFill="1" applyAlignment="1">
      <alignment horizontal="left" vertical="top" wrapText="1"/>
    </xf>
    <xf numFmtId="3" fontId="44" fillId="15" borderId="1" xfId="0" applyNumberFormat="1" applyFont="1" applyFill="1" applyBorder="1" applyAlignment="1">
      <alignment horizontal="center" vertical="center" wrapText="1"/>
    </xf>
    <xf numFmtId="169" fontId="44" fillId="15" borderId="1" xfId="1" applyNumberFormat="1" applyFont="1" applyFill="1" applyBorder="1" applyAlignment="1">
      <alignment vertical="center"/>
    </xf>
    <xf numFmtId="169" fontId="44" fillId="15" borderId="1" xfId="1" applyNumberFormat="1" applyFont="1" applyFill="1" applyBorder="1"/>
    <xf numFmtId="0" fontId="20" fillId="15" borderId="1" xfId="0" applyFont="1" applyFill="1" applyBorder="1"/>
    <xf numFmtId="0" fontId="20" fillId="2" borderId="0" xfId="0" applyFont="1" applyFill="1" applyAlignment="1">
      <alignment horizontal="right"/>
    </xf>
    <xf numFmtId="0" fontId="20" fillId="10" borderId="0" xfId="0" applyFont="1" applyFill="1"/>
    <xf numFmtId="10" fontId="19" fillId="16" borderId="1" xfId="0" applyNumberFormat="1" applyFont="1" applyFill="1" applyBorder="1"/>
    <xf numFmtId="0" fontId="19" fillId="2" borderId="1" xfId="0" applyFont="1" applyFill="1" applyBorder="1" applyAlignment="1">
      <alignment vertical="top" wrapText="1"/>
    </xf>
    <xf numFmtId="0" fontId="65" fillId="2" borderId="1" xfId="0" applyFont="1" applyFill="1" applyBorder="1" applyAlignment="1">
      <alignment horizontal="left" vertical="top" wrapText="1"/>
    </xf>
    <xf numFmtId="0" fontId="19" fillId="0" borderId="0" xfId="0" applyFont="1" applyAlignment="1">
      <alignment horizontal="left" vertical="top" wrapText="1"/>
    </xf>
    <xf numFmtId="0" fontId="18" fillId="0" borderId="0" xfId="0" applyFont="1" applyAlignment="1">
      <alignment vertical="top" wrapText="1"/>
    </xf>
    <xf numFmtId="0" fontId="43"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19" fillId="2" borderId="0" xfId="0" applyFont="1" applyFill="1" applyAlignment="1">
      <alignment vertical="top" wrapText="1"/>
    </xf>
    <xf numFmtId="0" fontId="12" fillId="2" borderId="0" xfId="0" applyFont="1" applyFill="1"/>
    <xf numFmtId="3" fontId="18" fillId="2" borderId="0" xfId="0" applyNumberFormat="1" applyFont="1" applyFill="1"/>
    <xf numFmtId="3" fontId="18" fillId="10" borderId="0" xfId="0" applyNumberFormat="1" applyFont="1" applyFill="1"/>
    <xf numFmtId="3" fontId="19" fillId="14" borderId="0" xfId="0" applyNumberFormat="1" applyFont="1" applyFill="1"/>
    <xf numFmtId="3" fontId="18" fillId="14" borderId="0" xfId="0" applyNumberFormat="1" applyFont="1" applyFill="1"/>
    <xf numFmtId="3" fontId="18" fillId="10" borderId="0" xfId="11" applyNumberFormat="1" applyFont="1" applyFill="1"/>
    <xf numFmtId="0" fontId="18" fillId="14" borderId="0" xfId="0" applyFont="1" applyFill="1"/>
    <xf numFmtId="0" fontId="21" fillId="2" borderId="1" xfId="0" applyFont="1" applyFill="1" applyBorder="1" applyAlignment="1">
      <alignment horizontal="left" vertical="center" wrapText="1"/>
    </xf>
    <xf numFmtId="9" fontId="21" fillId="2" borderId="1" xfId="0" applyNumberFormat="1" applyFont="1" applyFill="1" applyBorder="1" applyAlignment="1">
      <alignment horizontal="right" vertical="center" wrapText="1"/>
    </xf>
    <xf numFmtId="0" fontId="25" fillId="2" borderId="1" xfId="0" applyFont="1" applyFill="1" applyBorder="1" applyAlignment="1">
      <alignment horizontal="left" vertical="center" wrapText="1"/>
    </xf>
    <xf numFmtId="9" fontId="25" fillId="2" borderId="1" xfId="0" applyNumberFormat="1" applyFont="1" applyFill="1" applyBorder="1" applyAlignment="1">
      <alignment horizontal="right" vertical="center" wrapText="1"/>
    </xf>
    <xf numFmtId="0" fontId="19" fillId="2" borderId="0" xfId="0" applyFont="1" applyFill="1"/>
    <xf numFmtId="3" fontId="43" fillId="2" borderId="0" xfId="0" applyNumberFormat="1" applyFont="1" applyFill="1" applyAlignment="1">
      <alignment horizontal="center" vertical="center"/>
    </xf>
    <xf numFmtId="3" fontId="24" fillId="2" borderId="0" xfId="0" applyNumberFormat="1" applyFont="1" applyFill="1" applyAlignment="1">
      <alignment horizontal="center" vertical="center"/>
    </xf>
    <xf numFmtId="0" fontId="18" fillId="0" borderId="0" xfId="0" applyFont="1" applyAlignment="1">
      <alignment horizontal="center" vertical="center"/>
    </xf>
    <xf numFmtId="41" fontId="18" fillId="2" borderId="0" xfId="11" applyFont="1" applyFill="1"/>
    <xf numFmtId="0" fontId="18" fillId="0" borderId="0" xfId="0" applyFont="1" applyFill="1" applyAlignment="1">
      <alignment horizontal="left"/>
    </xf>
    <xf numFmtId="3" fontId="20" fillId="0" borderId="0" xfId="0" applyNumberFormat="1" applyFont="1"/>
    <xf numFmtId="3" fontId="20" fillId="0" borderId="0" xfId="11" applyNumberFormat="1" applyFont="1"/>
    <xf numFmtId="3" fontId="27" fillId="0" borderId="0" xfId="0" applyNumberFormat="1" applyFont="1"/>
    <xf numFmtId="0" fontId="20" fillId="0" borderId="6" xfId="0" applyFont="1" applyBorder="1"/>
    <xf numFmtId="0" fontId="20" fillId="0" borderId="7" xfId="0" applyFont="1" applyBorder="1"/>
    <xf numFmtId="0" fontId="20" fillId="0" borderId="8" xfId="0" applyFont="1" applyBorder="1"/>
    <xf numFmtId="0" fontId="20" fillId="0" borderId="9" xfId="0" applyFont="1" applyBorder="1"/>
    <xf numFmtId="0" fontId="20" fillId="0" borderId="10" xfId="0" applyFont="1" applyBorder="1"/>
    <xf numFmtId="0" fontId="20" fillId="0" borderId="11" xfId="0" applyFont="1" applyBorder="1"/>
    <xf numFmtId="0" fontId="20" fillId="0" borderId="12" xfId="0" applyFont="1" applyBorder="1"/>
    <xf numFmtId="0" fontId="20" fillId="0" borderId="6" xfId="0" applyFont="1" applyBorder="1" applyAlignment="1">
      <alignment horizontal="right"/>
    </xf>
    <xf numFmtId="0" fontId="20" fillId="0" borderId="7" xfId="0" applyFont="1" applyBorder="1" applyAlignment="1">
      <alignment horizontal="right"/>
    </xf>
    <xf numFmtId="0" fontId="27" fillId="15" borderId="0" xfId="0" applyFont="1" applyFill="1" applyBorder="1" applyAlignment="1">
      <alignment horizontal="right"/>
    </xf>
    <xf numFmtId="0" fontId="27" fillId="15" borderId="0" xfId="0" applyFont="1" applyFill="1" applyBorder="1"/>
    <xf numFmtId="0" fontId="20" fillId="15" borderId="0" xfId="0" applyFont="1" applyFill="1" applyBorder="1"/>
    <xf numFmtId="0" fontId="20" fillId="15" borderId="0" xfId="0" applyFont="1" applyFill="1" applyBorder="1" applyAlignment="1">
      <alignment horizontal="right"/>
    </xf>
    <xf numFmtId="0" fontId="20" fillId="15" borderId="5" xfId="0" applyFont="1" applyFill="1" applyBorder="1" applyAlignment="1">
      <alignment horizontal="right"/>
    </xf>
    <xf numFmtId="0" fontId="20" fillId="0" borderId="10" xfId="0" applyFont="1" applyBorder="1" applyAlignment="1">
      <alignment horizontal="right"/>
    </xf>
    <xf numFmtId="14" fontId="20" fillId="0" borderId="11" xfId="0" applyNumberFormat="1" applyFont="1" applyBorder="1"/>
    <xf numFmtId="0" fontId="20" fillId="0" borderId="11" xfId="0" applyFont="1" applyBorder="1" applyAlignment="1">
      <alignment horizontal="right"/>
    </xf>
    <xf numFmtId="0" fontId="20" fillId="0" borderId="0" xfId="0" applyFont="1" applyBorder="1" applyAlignment="1">
      <alignment horizontal="right"/>
    </xf>
    <xf numFmtId="14" fontId="20" fillId="0" borderId="0" xfId="0" applyNumberFormat="1" applyFont="1" applyBorder="1"/>
    <xf numFmtId="0" fontId="20" fillId="0" borderId="0" xfId="0" applyFont="1" applyBorder="1"/>
    <xf numFmtId="0" fontId="42" fillId="0" borderId="0" xfId="0" applyFont="1" applyAlignment="1">
      <alignment horizontal="left" vertical="center" wrapText="1"/>
    </xf>
    <xf numFmtId="0" fontId="45" fillId="0" borderId="0" xfId="0" applyFont="1" applyAlignment="1">
      <alignment horizontal="right"/>
    </xf>
    <xf numFmtId="0" fontId="19" fillId="2" borderId="1" xfId="0" applyFont="1" applyFill="1" applyBorder="1" applyAlignment="1">
      <alignment vertical="center" wrapText="1"/>
    </xf>
    <xf numFmtId="0" fontId="19" fillId="2" borderId="1" xfId="0" applyFont="1" applyFill="1" applyBorder="1" applyAlignment="1">
      <alignment wrapText="1"/>
    </xf>
    <xf numFmtId="3" fontId="44" fillId="10" borderId="1" xfId="0" applyNumberFormat="1" applyFont="1" applyFill="1" applyBorder="1" applyAlignment="1">
      <alignment horizontal="justify" vertical="center" wrapText="1"/>
    </xf>
    <xf numFmtId="3" fontId="29" fillId="15" borderId="1" xfId="0" applyNumberFormat="1" applyFont="1" applyFill="1" applyBorder="1" applyAlignment="1">
      <alignment horizontal="center" vertical="center" wrapText="1"/>
    </xf>
    <xf numFmtId="3" fontId="29" fillId="15" borderId="1" xfId="0" applyNumberFormat="1" applyFont="1" applyFill="1" applyBorder="1" applyAlignment="1">
      <alignment horizontal="justify" vertical="center" wrapText="1"/>
    </xf>
    <xf numFmtId="9" fontId="29" fillId="15" borderId="1" xfId="0" applyNumberFormat="1" applyFont="1" applyFill="1" applyBorder="1" applyAlignment="1">
      <alignment horizontal="center" vertical="top" wrapText="1"/>
    </xf>
    <xf numFmtId="169" fontId="20" fillId="0" borderId="0" xfId="0" applyNumberFormat="1" applyFont="1" applyFill="1"/>
    <xf numFmtId="0" fontId="19" fillId="10" borderId="0" xfId="0" applyFont="1" applyFill="1"/>
    <xf numFmtId="49" fontId="19" fillId="18" borderId="1" xfId="0" applyNumberFormat="1" applyFont="1" applyFill="1" applyBorder="1" applyAlignment="1">
      <alignment horizontal="right"/>
    </xf>
    <xf numFmtId="0" fontId="19" fillId="18" borderId="1" xfId="0" applyFont="1" applyFill="1" applyBorder="1"/>
    <xf numFmtId="0" fontId="19" fillId="18" borderId="1" xfId="0" applyFont="1" applyFill="1" applyBorder="1" applyAlignment="1">
      <alignment horizontal="left"/>
    </xf>
    <xf numFmtId="0" fontId="18" fillId="0" borderId="0" xfId="0" applyFont="1" applyAlignment="1">
      <alignment horizontal="left" vertical="top" wrapText="1"/>
    </xf>
    <xf numFmtId="0" fontId="19" fillId="14" borderId="0" xfId="0" applyFont="1" applyFill="1" applyAlignment="1">
      <alignment vertical="top" wrapText="1"/>
    </xf>
    <xf numFmtId="0" fontId="1" fillId="15" borderId="0" xfId="0" applyFont="1" applyFill="1" applyAlignment="1">
      <alignment horizontal="center"/>
    </xf>
    <xf numFmtId="3" fontId="18" fillId="0" borderId="0" xfId="0" applyNumberFormat="1" applyFont="1" applyFill="1"/>
    <xf numFmtId="0" fontId="25" fillId="8" borderId="1" xfId="0" applyFont="1" applyFill="1" applyBorder="1" applyAlignment="1">
      <alignment horizontal="left" vertical="top" wrapText="1"/>
    </xf>
    <xf numFmtId="171" fontId="25" fillId="8" borderId="1" xfId="0" applyNumberFormat="1" applyFont="1" applyFill="1" applyBorder="1" applyAlignment="1">
      <alignment horizontal="right" vertical="center" wrapText="1"/>
    </xf>
    <xf numFmtId="0" fontId="25" fillId="8" borderId="1" xfId="0" applyFont="1" applyFill="1" applyBorder="1" applyAlignment="1">
      <alignment horizontal="left" vertical="center" wrapText="1"/>
    </xf>
    <xf numFmtId="0" fontId="25" fillId="18" borderId="1" xfId="0" applyFont="1" applyFill="1" applyBorder="1" applyAlignment="1">
      <alignment horizontal="left" vertical="center" wrapText="1"/>
    </xf>
    <xf numFmtId="171" fontId="25" fillId="18" borderId="1" xfId="0" applyNumberFormat="1" applyFont="1" applyFill="1" applyBorder="1" applyAlignment="1">
      <alignment horizontal="right" vertical="center" wrapText="1"/>
    </xf>
    <xf numFmtId="164" fontId="25" fillId="18" borderId="1" xfId="0" applyNumberFormat="1" applyFont="1" applyFill="1" applyBorder="1" applyAlignment="1">
      <alignment horizontal="right" vertical="center" wrapText="1"/>
    </xf>
    <xf numFmtId="3" fontId="1" fillId="0" borderId="0" xfId="11" applyNumberFormat="1" applyFont="1" applyFill="1"/>
    <xf numFmtId="41" fontId="19" fillId="0" borderId="0" xfId="11" applyFont="1" applyAlignment="1">
      <alignment vertical="center"/>
    </xf>
    <xf numFmtId="41" fontId="19" fillId="0" borderId="0" xfId="0" applyNumberFormat="1" applyFont="1"/>
    <xf numFmtId="0" fontId="18" fillId="0" borderId="0" xfId="0" applyFont="1" applyFill="1"/>
    <xf numFmtId="3" fontId="18" fillId="0" borderId="0" xfId="11" applyNumberFormat="1" applyFont="1" applyFill="1"/>
    <xf numFmtId="41" fontId="20" fillId="0" borderId="0" xfId="0" applyNumberFormat="1" applyFont="1"/>
    <xf numFmtId="41" fontId="20" fillId="14" borderId="0" xfId="11" applyFont="1" applyFill="1"/>
    <xf numFmtId="3" fontId="19" fillId="2" borderId="0" xfId="0" applyNumberFormat="1" applyFont="1" applyFill="1"/>
    <xf numFmtId="0" fontId="18" fillId="2" borderId="1" xfId="0" applyFont="1" applyFill="1" applyBorder="1" applyAlignment="1">
      <alignment horizontal="left" vertical="top" wrapText="1"/>
    </xf>
    <xf numFmtId="0" fontId="19" fillId="2" borderId="1" xfId="0" applyFont="1" applyFill="1" applyBorder="1" applyAlignment="1">
      <alignment horizontal="left" vertical="center" wrapText="1"/>
    </xf>
    <xf numFmtId="9" fontId="18" fillId="2" borderId="1" xfId="0" applyNumberFormat="1" applyFont="1" applyFill="1" applyBorder="1" applyAlignment="1">
      <alignment horizontal="right" vertical="center" wrapText="1"/>
    </xf>
    <xf numFmtId="14" fontId="29" fillId="2" borderId="0" xfId="0" applyNumberFormat="1" applyFont="1" applyFill="1" applyBorder="1"/>
    <xf numFmtId="14" fontId="29" fillId="21" borderId="0" xfId="0" applyNumberFormat="1" applyFont="1" applyFill="1" applyBorder="1"/>
    <xf numFmtId="9" fontId="20" fillId="0" borderId="0" xfId="0" applyNumberFormat="1" applyFont="1" applyFill="1" applyBorder="1"/>
    <xf numFmtId="169" fontId="10" fillId="0" borderId="0" xfId="0" applyNumberFormat="1" applyFont="1" applyFill="1" applyAlignment="1">
      <alignment horizontal="center" wrapText="1"/>
    </xf>
    <xf numFmtId="9" fontId="10" fillId="0" borderId="0" xfId="0" applyNumberFormat="1" applyFont="1" applyFill="1" applyAlignment="1">
      <alignment horizontal="center" wrapText="1"/>
    </xf>
    <xf numFmtId="41" fontId="27" fillId="0" borderId="0" xfId="0" applyNumberFormat="1" applyFont="1" applyFill="1"/>
    <xf numFmtId="0" fontId="20" fillId="22" borderId="0" xfId="0" applyFont="1" applyFill="1" applyAlignment="1">
      <alignment horizontal="right"/>
    </xf>
    <xf numFmtId="14" fontId="29" fillId="22" borderId="0" xfId="0" applyNumberFormat="1" applyFont="1" applyFill="1"/>
    <xf numFmtId="3" fontId="1" fillId="0" borderId="0" xfId="0" applyNumberFormat="1" applyFont="1"/>
    <xf numFmtId="0" fontId="25" fillId="2" borderId="0" xfId="0" applyFont="1" applyFill="1" applyAlignment="1">
      <alignment horizontal="justify" vertical="center"/>
    </xf>
    <xf numFmtId="3" fontId="71" fillId="0" borderId="0" xfId="0" applyNumberFormat="1" applyFont="1"/>
    <xf numFmtId="41" fontId="1" fillId="0" borderId="0" xfId="11" applyFont="1" applyFill="1"/>
    <xf numFmtId="41" fontId="1" fillId="0" borderId="0" xfId="6" applyNumberFormat="1" applyFont="1" applyFill="1"/>
    <xf numFmtId="41" fontId="1" fillId="0" borderId="0" xfId="11" applyFont="1" applyFill="1" applyAlignment="1">
      <alignment vertical="center"/>
    </xf>
    <xf numFmtId="3" fontId="2" fillId="18" borderId="0" xfId="6" applyNumberFormat="1" applyFont="1" applyFill="1" applyAlignment="1">
      <alignment horizontal="center"/>
    </xf>
    <xf numFmtId="0" fontId="2" fillId="0"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0" fontId="18" fillId="0" borderId="1" xfId="0" applyFont="1" applyFill="1" applyBorder="1" applyAlignment="1">
      <alignment horizontal="right" vertical="center" wrapText="1"/>
    </xf>
    <xf numFmtId="0" fontId="1" fillId="0" borderId="0" xfId="0" applyFont="1" applyFill="1" applyAlignment="1">
      <alignment horizontal="right"/>
    </xf>
    <xf numFmtId="10" fontId="25"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 fillId="2" borderId="1" xfId="0" applyFont="1" applyFill="1" applyBorder="1" applyAlignment="1">
      <alignment horizontal="right" vertical="center" wrapText="1"/>
    </xf>
    <xf numFmtId="0" fontId="25" fillId="2" borderId="1" xfId="0" applyFont="1" applyFill="1" applyBorder="1" applyAlignment="1">
      <alignment horizontal="left" vertical="top" wrapText="1"/>
    </xf>
    <xf numFmtId="0" fontId="1" fillId="8" borderId="1" xfId="0" applyFont="1" applyFill="1" applyBorder="1" applyAlignment="1">
      <alignment horizontal="right" vertical="center" wrapText="1"/>
    </xf>
    <xf numFmtId="10" fontId="25" fillId="8"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0" fontId="1" fillId="18" borderId="1" xfId="0" applyFont="1" applyFill="1" applyBorder="1" applyAlignment="1">
      <alignment horizontal="right" vertical="center" wrapText="1"/>
    </xf>
    <xf numFmtId="9" fontId="25" fillId="18" borderId="1" xfId="0" applyNumberFormat="1" applyFont="1" applyFill="1" applyBorder="1" applyAlignment="1">
      <alignment horizontal="right" vertical="center" wrapText="1"/>
    </xf>
    <xf numFmtId="9" fontId="25" fillId="18" borderId="1" xfId="0" applyNumberFormat="1" applyFont="1" applyFill="1" applyBorder="1" applyAlignment="1">
      <alignment horizontal="center" vertical="center" wrapText="1"/>
    </xf>
    <xf numFmtId="0" fontId="27" fillId="0" borderId="0" xfId="0" applyFont="1"/>
    <xf numFmtId="0" fontId="10" fillId="2" borderId="1" xfId="0" applyFont="1" applyFill="1" applyBorder="1" applyAlignment="1">
      <alignment horizontal="center" vertical="top" wrapText="1"/>
    </xf>
    <xf numFmtId="41" fontId="20" fillId="0" borderId="0" xfId="11" applyFont="1" applyAlignment="1">
      <alignment horizontal="right"/>
    </xf>
    <xf numFmtId="41" fontId="27" fillId="0" borderId="0" xfId="11" applyFont="1"/>
    <xf numFmtId="0" fontId="20" fillId="0" borderId="0" xfId="0" applyFont="1" applyFill="1" applyAlignment="1">
      <alignment horizontal="center"/>
    </xf>
    <xf numFmtId="0" fontId="10" fillId="10" borderId="1" xfId="0" applyFont="1" applyFill="1" applyBorder="1" applyAlignment="1">
      <alignment horizontal="center" vertical="top" wrapText="1"/>
    </xf>
    <xf numFmtId="0" fontId="44" fillId="10" borderId="1" xfId="0" applyFont="1" applyFill="1" applyBorder="1" applyAlignment="1">
      <alignment horizontal="justify" vertical="top" wrapText="1"/>
    </xf>
    <xf numFmtId="3" fontId="10" fillId="10" borderId="1" xfId="0" applyNumberFormat="1" applyFont="1" applyFill="1" applyBorder="1" applyAlignment="1">
      <alignment horizontal="right" vertical="top" wrapText="1"/>
    </xf>
    <xf numFmtId="0" fontId="27" fillId="15" borderId="0" xfId="0" applyFont="1" applyFill="1" applyBorder="1" applyAlignment="1">
      <alignment horizontal="center"/>
    </xf>
    <xf numFmtId="0" fontId="18" fillId="15" borderId="0" xfId="0" applyFont="1" applyFill="1" applyAlignment="1">
      <alignment horizontal="center"/>
    </xf>
    <xf numFmtId="0" fontId="18" fillId="14" borderId="0" xfId="0" applyFont="1" applyFill="1" applyAlignment="1">
      <alignment vertical="top" wrapText="1"/>
    </xf>
    <xf numFmtId="0" fontId="1" fillId="10" borderId="1" xfId="6" applyFont="1" applyFill="1" applyBorder="1" applyAlignment="1">
      <alignment horizontal="center" vertical="center" wrapText="1"/>
    </xf>
    <xf numFmtId="9" fontId="1" fillId="10" borderId="1" xfId="6" applyNumberFormat="1" applyFont="1" applyFill="1" applyBorder="1" applyAlignment="1">
      <alignment horizontal="center" vertical="center" wrapText="1"/>
    </xf>
    <xf numFmtId="0" fontId="25" fillId="10" borderId="1" xfId="0" applyFont="1" applyFill="1" applyBorder="1" applyAlignment="1">
      <alignment horizontal="left" vertical="center" wrapText="1"/>
    </xf>
    <xf numFmtId="0" fontId="1" fillId="10" borderId="1" xfId="0" applyFont="1" applyFill="1" applyBorder="1" applyAlignment="1">
      <alignment horizontal="right" vertical="center" wrapText="1"/>
    </xf>
    <xf numFmtId="9" fontId="25" fillId="10" borderId="1" xfId="0" applyNumberFormat="1" applyFont="1" applyFill="1" applyBorder="1" applyAlignment="1">
      <alignment horizontal="right" vertical="center" wrapText="1"/>
    </xf>
    <xf numFmtId="9" fontId="25" fillId="10" borderId="1" xfId="0" applyNumberFormat="1" applyFont="1" applyFill="1" applyBorder="1" applyAlignment="1">
      <alignment horizontal="center" vertical="center" wrapText="1"/>
    </xf>
    <xf numFmtId="41" fontId="19" fillId="0" borderId="0" xfId="11" applyFont="1" applyFill="1" applyAlignment="1">
      <alignment vertical="center"/>
    </xf>
    <xf numFmtId="3" fontId="19" fillId="0" borderId="0" xfId="0" applyNumberFormat="1" applyFont="1" applyFill="1" applyAlignment="1">
      <alignment horizontal="center" vertical="center"/>
    </xf>
    <xf numFmtId="3" fontId="19" fillId="0" borderId="0" xfId="11" applyNumberFormat="1" applyFont="1"/>
    <xf numFmtId="41" fontId="27" fillId="19" borderId="0" xfId="11" applyFont="1" applyFill="1" applyAlignment="1">
      <alignment vertical="center"/>
    </xf>
    <xf numFmtId="41" fontId="27" fillId="19" borderId="0" xfId="0" applyNumberFormat="1" applyFont="1" applyFill="1" applyAlignment="1">
      <alignment vertical="center"/>
    </xf>
    <xf numFmtId="0" fontId="20" fillId="0" borderId="0" xfId="0" applyFont="1" applyFill="1" applyAlignment="1">
      <alignment horizontal="center" vertical="center"/>
    </xf>
    <xf numFmtId="0" fontId="27" fillId="2" borderId="0" xfId="0" applyFont="1" applyFill="1" applyAlignment="1">
      <alignment horizontal="center" vertical="center"/>
    </xf>
    <xf numFmtId="0" fontId="27" fillId="10" borderId="0" xfId="0" applyFont="1" applyFill="1" applyAlignment="1">
      <alignment horizontal="center" vertical="center"/>
    </xf>
    <xf numFmtId="41" fontId="20" fillId="0" borderId="0" xfId="11" applyFont="1" applyFill="1" applyAlignment="1">
      <alignment horizontal="center" vertical="center"/>
    </xf>
    <xf numFmtId="3" fontId="71" fillId="2" borderId="0" xfId="0" applyNumberFormat="1" applyFont="1" applyFill="1"/>
    <xf numFmtId="3" fontId="18" fillId="2" borderId="0" xfId="11" applyNumberFormat="1" applyFont="1" applyFill="1"/>
    <xf numFmtId="0" fontId="20" fillId="23" borderId="0" xfId="0" applyFont="1" applyFill="1" applyAlignment="1"/>
    <xf numFmtId="0" fontId="20" fillId="23" borderId="0" xfId="0" applyFont="1" applyFill="1" applyAlignment="1">
      <alignment horizontal="left"/>
    </xf>
    <xf numFmtId="0" fontId="27" fillId="23" borderId="0" xfId="0" applyFont="1" applyFill="1" applyAlignment="1">
      <alignment horizontal="left"/>
    </xf>
    <xf numFmtId="0" fontId="20" fillId="23" borderId="0" xfId="0" applyFont="1" applyFill="1" applyAlignment="1">
      <alignment horizontal="right"/>
    </xf>
    <xf numFmtId="0" fontId="20" fillId="23" borderId="0" xfId="0" applyFont="1" applyFill="1"/>
    <xf numFmtId="3" fontId="20" fillId="0" borderId="0" xfId="0" applyNumberFormat="1" applyFont="1" applyAlignment="1">
      <alignment horizontal="center" vertical="center"/>
    </xf>
    <xf numFmtId="41" fontId="20" fillId="0" borderId="0" xfId="11" applyFont="1" applyAlignment="1">
      <alignment vertical="center"/>
    </xf>
    <xf numFmtId="0" fontId="20" fillId="2" borderId="0" xfId="0" applyFont="1" applyFill="1"/>
    <xf numFmtId="9" fontId="29" fillId="10" borderId="1" xfId="0" applyNumberFormat="1" applyFont="1" applyFill="1" applyBorder="1" applyAlignment="1">
      <alignment horizontal="center" vertical="center" wrapText="1"/>
    </xf>
    <xf numFmtId="9" fontId="29" fillId="10" borderId="1" xfId="0" applyNumberFormat="1" applyFont="1" applyFill="1" applyBorder="1" applyAlignment="1">
      <alignment horizontal="center" vertical="top" wrapText="1"/>
    </xf>
    <xf numFmtId="41" fontId="20" fillId="0" borderId="0" xfId="0" applyNumberFormat="1" applyFont="1" applyFill="1" applyAlignment="1">
      <alignment horizontal="center" vertical="center"/>
    </xf>
    <xf numFmtId="165" fontId="10" fillId="2" borderId="1" xfId="1" applyFont="1" applyFill="1" applyBorder="1" applyAlignment="1">
      <alignment horizontal="center"/>
    </xf>
    <xf numFmtId="165" fontId="10" fillId="2" borderId="1" xfId="1" applyFont="1" applyFill="1" applyBorder="1" applyAlignment="1">
      <alignment horizontal="center" vertical="center"/>
    </xf>
    <xf numFmtId="43" fontId="2" fillId="0" borderId="0" xfId="0" applyNumberFormat="1" applyFont="1" applyAlignment="1"/>
    <xf numFmtId="0" fontId="19" fillId="0" borderId="0" xfId="0" applyFont="1" applyAlignment="1">
      <alignment horizontal="left" vertical="top" wrapText="1"/>
    </xf>
    <xf numFmtId="0" fontId="18"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wrapText="1"/>
    </xf>
    <xf numFmtId="0" fontId="2" fillId="10" borderId="1" xfId="0" applyFont="1" applyFill="1" applyBorder="1" applyAlignment="1">
      <alignment horizontal="center" wrapText="1"/>
    </xf>
    <xf numFmtId="0" fontId="12" fillId="0" borderId="0" xfId="0" applyFont="1" applyAlignment="1">
      <alignment horizontal="left"/>
    </xf>
    <xf numFmtId="0" fontId="3" fillId="0" borderId="0" xfId="0" applyNumberFormat="1" applyFont="1" applyAlignment="1">
      <alignment horizontal="left" wrapText="1"/>
    </xf>
    <xf numFmtId="0" fontId="12" fillId="0" borderId="0" xfId="0" applyNumberFormat="1" applyFont="1" applyAlignment="1">
      <alignment horizontal="left" wrapText="1"/>
    </xf>
    <xf numFmtId="0" fontId="19" fillId="0" borderId="0" xfId="0" applyFont="1" applyAlignment="1">
      <alignment horizontal="center"/>
    </xf>
    <xf numFmtId="0" fontId="25" fillId="0" borderId="0" xfId="0" applyFont="1" applyAlignment="1">
      <alignment horizontal="left" vertical="top" wrapText="1"/>
    </xf>
    <xf numFmtId="0" fontId="18" fillId="0" borderId="0" xfId="0" applyFont="1" applyAlignment="1">
      <alignment horizontal="left" vertical="top" wrapText="1"/>
    </xf>
    <xf numFmtId="0" fontId="18" fillId="16" borderId="0" xfId="0" applyFont="1" applyFill="1" applyAlignment="1">
      <alignment horizontal="left" vertical="top" wrapText="1"/>
    </xf>
    <xf numFmtId="0" fontId="19" fillId="0" borderId="0" xfId="0" applyFont="1" applyAlignment="1">
      <alignment horizontal="center" vertical="center"/>
    </xf>
    <xf numFmtId="0" fontId="2" fillId="0" borderId="1" xfId="0" applyFont="1" applyFill="1" applyBorder="1" applyAlignment="1">
      <alignment horizontal="center" wrapText="1"/>
    </xf>
    <xf numFmtId="10" fontId="1" fillId="0" borderId="1" xfId="8" applyNumberFormat="1" applyFont="1" applyFill="1" applyBorder="1" applyAlignment="1">
      <alignment horizontal="center"/>
    </xf>
    <xf numFmtId="165" fontId="10" fillId="0" borderId="1" xfId="1" applyFont="1" applyFill="1" applyBorder="1" applyAlignment="1">
      <alignment horizontal="center" vertical="center"/>
    </xf>
    <xf numFmtId="10" fontId="1" fillId="2" borderId="1" xfId="8" applyNumberFormat="1" applyFont="1" applyFill="1" applyBorder="1" applyAlignment="1">
      <alignment horizontal="center"/>
    </xf>
    <xf numFmtId="0" fontId="2" fillId="2" borderId="1" xfId="0" applyFont="1" applyFill="1" applyBorder="1" applyAlignment="1">
      <alignment horizontal="center" vertical="center" wrapText="1"/>
    </xf>
    <xf numFmtId="3" fontId="12" fillId="2" borderId="0" xfId="1" applyNumberFormat="1" applyFont="1" applyFill="1" applyAlignment="1">
      <alignment horizontal="center" vertical="center"/>
    </xf>
    <xf numFmtId="3" fontId="12" fillId="2" borderId="0" xfId="0" applyNumberFormat="1" applyFont="1" applyFill="1" applyAlignment="1">
      <alignment horizontal="center" vertical="center"/>
    </xf>
    <xf numFmtId="3" fontId="12" fillId="0" borderId="0" xfId="0" applyNumberFormat="1" applyFont="1" applyAlignment="1">
      <alignment horizontal="center" vertical="center"/>
    </xf>
    <xf numFmtId="3" fontId="3" fillId="0" borderId="0" xfId="0" applyNumberFormat="1" applyFont="1" applyAlignment="1">
      <alignment horizontal="center" vertical="center"/>
    </xf>
    <xf numFmtId="3" fontId="12" fillId="0" borderId="0" xfId="1" applyNumberFormat="1" applyFont="1" applyAlignment="1">
      <alignment horizontal="center" vertical="center"/>
    </xf>
    <xf numFmtId="3" fontId="3" fillId="2" borderId="0" xfId="1" applyNumberFormat="1" applyFont="1" applyFill="1" applyAlignment="1">
      <alignment horizontal="center" vertical="center"/>
    </xf>
    <xf numFmtId="0" fontId="12" fillId="0" borderId="0" xfId="0" applyFont="1" applyAlignment="1">
      <alignment horizontal="center" vertical="center"/>
    </xf>
    <xf numFmtId="10" fontId="12" fillId="0" borderId="0" xfId="8" applyNumberFormat="1" applyFont="1"/>
    <xf numFmtId="10" fontId="12" fillId="0" borderId="0" xfId="0" applyNumberFormat="1" applyFont="1" applyAlignment="1">
      <alignment horizontal="center" vertical="center"/>
    </xf>
    <xf numFmtId="10" fontId="12" fillId="0" borderId="0" xfId="8" applyNumberFormat="1" applyFont="1" applyAlignment="1">
      <alignment horizontal="center" vertical="center"/>
    </xf>
    <xf numFmtId="10" fontId="12" fillId="0" borderId="0" xfId="8" applyNumberFormat="1" applyFont="1" applyAlignment="1">
      <alignment horizontal="left"/>
    </xf>
    <xf numFmtId="10" fontId="12" fillId="24" borderId="0" xfId="8" applyNumberFormat="1" applyFont="1" applyFill="1" applyAlignment="1">
      <alignment horizontal="center" vertical="center"/>
    </xf>
    <xf numFmtId="10" fontId="12" fillId="24" borderId="0" xfId="8" applyNumberFormat="1" applyFont="1" applyFill="1" applyAlignment="1">
      <alignment vertical="center"/>
    </xf>
    <xf numFmtId="0" fontId="3" fillId="0" borderId="0" xfId="0" applyFont="1"/>
    <xf numFmtId="10" fontId="3" fillId="0" borderId="0" xfId="0" applyNumberFormat="1" applyFont="1" applyAlignment="1">
      <alignment horizontal="center" vertical="center"/>
    </xf>
    <xf numFmtId="10" fontId="3" fillId="0" borderId="0" xfId="8" applyNumberFormat="1" applyFont="1" applyAlignment="1">
      <alignment horizontal="center"/>
    </xf>
    <xf numFmtId="3" fontId="3" fillId="2" borderId="0" xfId="0" applyNumberFormat="1" applyFont="1" applyFill="1" applyAlignment="1">
      <alignment horizontal="center" vertical="center" wrapText="1"/>
    </xf>
    <xf numFmtId="10" fontId="3" fillId="23" borderId="0" xfId="8" applyNumberFormat="1" applyFont="1" applyFill="1" applyAlignment="1">
      <alignment horizontal="center"/>
    </xf>
    <xf numFmtId="10" fontId="3" fillId="23" borderId="0" xfId="8" applyNumberFormat="1" applyFont="1" applyFill="1" applyAlignment="1">
      <alignment horizontal="center" vertical="center" wrapText="1"/>
    </xf>
    <xf numFmtId="0" fontId="18" fillId="0" borderId="0" xfId="0" applyFont="1" applyAlignment="1">
      <alignment horizontal="left" vertical="center"/>
    </xf>
    <xf numFmtId="0" fontId="19" fillId="0" borderId="1" xfId="0" applyFont="1" applyBorder="1" applyAlignment="1">
      <alignment wrapText="1"/>
    </xf>
    <xf numFmtId="0" fontId="19" fillId="2" borderId="1" xfId="0" applyFont="1" applyFill="1" applyBorder="1" applyAlignment="1">
      <alignment horizontal="center" vertical="center"/>
    </xf>
    <xf numFmtId="0" fontId="19" fillId="2" borderId="1" xfId="0" applyFont="1" applyFill="1" applyBorder="1"/>
    <xf numFmtId="0" fontId="19" fillId="16" borderId="1" xfId="0" applyFont="1" applyFill="1" applyBorder="1" applyAlignment="1">
      <alignment horizontal="center" vertical="center"/>
    </xf>
    <xf numFmtId="0" fontId="19" fillId="16" borderId="1" xfId="0" applyFont="1" applyFill="1" applyBorder="1"/>
    <xf numFmtId="0" fontId="25" fillId="0" borderId="0" xfId="0" applyFont="1"/>
    <xf numFmtId="0" fontId="25" fillId="0" borderId="0" xfId="0" applyFont="1" applyAlignment="1">
      <alignment wrapText="1"/>
    </xf>
    <xf numFmtId="0" fontId="76" fillId="0" borderId="0" xfId="0" applyFont="1" applyAlignment="1">
      <alignment wrapText="1"/>
    </xf>
    <xf numFmtId="0" fontId="19" fillId="0" borderId="0" xfId="13" applyFont="1" applyAlignment="1">
      <alignment wrapText="1"/>
    </xf>
    <xf numFmtId="0" fontId="19" fillId="18" borderId="0" xfId="0" applyFont="1" applyFill="1" applyAlignment="1">
      <alignment horizontal="center" vertical="center"/>
    </xf>
    <xf numFmtId="0" fontId="25" fillId="18" borderId="0" xfId="0" applyFont="1" applyFill="1" applyAlignment="1">
      <alignment wrapText="1"/>
    </xf>
    <xf numFmtId="0" fontId="25" fillId="18" borderId="0" xfId="0" applyFont="1" applyFill="1" applyAlignment="1">
      <alignment horizontal="left" vertical="top" wrapText="1"/>
    </xf>
    <xf numFmtId="0" fontId="18" fillId="16" borderId="0" xfId="0" applyFont="1" applyFill="1" applyAlignment="1">
      <alignment wrapText="1"/>
    </xf>
    <xf numFmtId="165" fontId="1" fillId="0" borderId="0" xfId="1" applyFont="1" applyFill="1"/>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left" vertical="top" wrapText="1"/>
    </xf>
    <xf numFmtId="0" fontId="19" fillId="0" borderId="0" xfId="0" applyFont="1" applyAlignment="1">
      <alignment horizontal="center"/>
    </xf>
    <xf numFmtId="0" fontId="18" fillId="2"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xf>
    <xf numFmtId="0" fontId="19" fillId="0" borderId="0" xfId="0" applyFont="1" applyAlignment="1">
      <alignment horizontal="left" vertical="top" wrapText="1"/>
    </xf>
    <xf numFmtId="3" fontId="18" fillId="6" borderId="1" xfId="0" applyNumberFormat="1" applyFont="1" applyFill="1" applyBorder="1" applyAlignment="1">
      <alignment horizontal="center" vertical="center"/>
    </xf>
    <xf numFmtId="0" fontId="19" fillId="0" borderId="0" xfId="0" applyFont="1" applyAlignment="1"/>
    <xf numFmtId="3" fontId="19" fillId="0" borderId="0" xfId="0" applyNumberFormat="1" applyFont="1" applyAlignment="1">
      <alignment horizontal="right"/>
    </xf>
    <xf numFmtId="3" fontId="18" fillId="2" borderId="0" xfId="0" applyNumberFormat="1" applyFont="1" applyFill="1" applyAlignment="1">
      <alignment horizontal="right"/>
    </xf>
    <xf numFmtId="0" fontId="19" fillId="6" borderId="0" xfId="0" applyFont="1" applyFill="1"/>
    <xf numFmtId="3" fontId="19" fillId="6" borderId="0" xfId="0" applyNumberFormat="1" applyFont="1" applyFill="1"/>
    <xf numFmtId="3" fontId="18" fillId="6" borderId="0" xfId="0" applyNumberFormat="1" applyFont="1" applyFill="1"/>
    <xf numFmtId="0" fontId="19" fillId="6" borderId="0" xfId="0" applyFont="1" applyFill="1" applyAlignment="1">
      <alignment horizontal="left"/>
    </xf>
    <xf numFmtId="0" fontId="19" fillId="25" borderId="0" xfId="0" applyFont="1" applyFill="1"/>
    <xf numFmtId="3" fontId="18" fillId="25" borderId="0" xfId="0" applyNumberFormat="1" applyFont="1" applyFill="1"/>
    <xf numFmtId="9" fontId="19" fillId="0" borderId="1" xfId="0" applyNumberFormat="1" applyFont="1" applyBorder="1"/>
    <xf numFmtId="3" fontId="19" fillId="0" borderId="0" xfId="1" applyNumberFormat="1" applyFont="1" applyAlignment="1">
      <alignment horizontal="center" vertical="center"/>
    </xf>
    <xf numFmtId="3" fontId="19" fillId="0" borderId="0" xfId="0" applyNumberFormat="1" applyFont="1" applyAlignment="1">
      <alignment horizontal="center" vertical="center"/>
    </xf>
    <xf numFmtId="0" fontId="19" fillId="16" borderId="0" xfId="0" applyFont="1" applyFill="1" applyAlignment="1">
      <alignment horizontal="center"/>
    </xf>
    <xf numFmtId="0" fontId="77" fillId="0" borderId="0" xfId="13" applyFont="1"/>
    <xf numFmtId="49" fontId="18" fillId="0" borderId="1" xfId="0" applyNumberFormat="1" applyFont="1" applyFill="1" applyBorder="1" applyAlignment="1">
      <alignment horizontal="center"/>
    </xf>
    <xf numFmtId="15" fontId="18" fillId="0" borderId="1" xfId="0" applyNumberFormat="1" applyFont="1" applyFill="1" applyBorder="1"/>
    <xf numFmtId="49" fontId="18" fillId="0" borderId="0" xfId="0" applyNumberFormat="1" applyFont="1" applyFill="1" applyBorder="1" applyAlignment="1">
      <alignment horizontal="center"/>
    </xf>
    <xf numFmtId="14" fontId="18" fillId="0" borderId="0" xfId="0" applyNumberFormat="1" applyFont="1" applyFill="1" applyBorder="1"/>
    <xf numFmtId="0" fontId="19" fillId="0" borderId="0" xfId="0" applyFont="1" applyFill="1" applyBorder="1"/>
    <xf numFmtId="15" fontId="18" fillId="0" borderId="0" xfId="0" applyNumberFormat="1" applyFont="1" applyFill="1" applyBorder="1"/>
    <xf numFmtId="0" fontId="79" fillId="0" borderId="0" xfId="0" applyFont="1" applyAlignment="1">
      <alignment vertical="center"/>
    </xf>
    <xf numFmtId="0" fontId="78" fillId="0" borderId="0" xfId="0" applyFont="1" applyAlignment="1">
      <alignment vertical="center"/>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wrapText="1"/>
    </xf>
    <xf numFmtId="15" fontId="18" fillId="0" borderId="1" xfId="0" applyNumberFormat="1" applyFont="1" applyFill="1" applyBorder="1" applyAlignment="1">
      <alignment horizontal="center" vertical="center"/>
    </xf>
    <xf numFmtId="0" fontId="19" fillId="0" borderId="0" xfId="0" applyFont="1" applyAlignment="1">
      <alignment horizontal="left" vertical="top" wrapText="1"/>
    </xf>
    <xf numFmtId="0" fontId="18" fillId="0" borderId="0" xfId="0" applyFont="1" applyAlignment="1">
      <alignment horizontal="center"/>
    </xf>
    <xf numFmtId="3" fontId="27" fillId="0" borderId="0" xfId="0" applyNumberFormat="1" applyFont="1" applyFill="1" applyAlignment="1">
      <alignment horizontal="right"/>
    </xf>
    <xf numFmtId="41" fontId="27" fillId="0" borderId="0" xfId="11" applyFont="1" applyFill="1"/>
    <xf numFmtId="3" fontId="20" fillId="0" borderId="5" xfId="0" applyNumberFormat="1" applyFont="1" applyFill="1" applyBorder="1" applyAlignment="1"/>
    <xf numFmtId="3" fontId="20" fillId="0" borderId="0" xfId="0" applyNumberFormat="1" applyFont="1" applyFill="1" applyAlignment="1"/>
    <xf numFmtId="3" fontId="83" fillId="0" borderId="0" xfId="0" applyNumberFormat="1" applyFont="1" applyFill="1"/>
    <xf numFmtId="0" fontId="83" fillId="0" borderId="0" xfId="0" applyFont="1" applyFill="1"/>
    <xf numFmtId="15" fontId="18" fillId="27" borderId="1" xfId="0" applyNumberFormat="1" applyFont="1" applyFill="1" applyBorder="1"/>
    <xf numFmtId="14" fontId="24" fillId="18" borderId="1" xfId="0" applyNumberFormat="1" applyFont="1" applyFill="1" applyBorder="1" applyAlignment="1">
      <alignment horizontal="left"/>
    </xf>
    <xf numFmtId="0" fontId="12" fillId="0" borderId="0" xfId="0" applyFont="1" applyAlignment="1">
      <alignment horizontal="left"/>
    </xf>
    <xf numFmtId="0" fontId="19" fillId="2" borderId="1" xfId="0" applyFont="1" applyFill="1" applyBorder="1" applyAlignment="1">
      <alignment horizontal="center" vertical="center"/>
    </xf>
    <xf numFmtId="0" fontId="10" fillId="2" borderId="0" xfId="0" applyFont="1" applyFill="1" applyAlignment="1">
      <alignment horizontal="center"/>
    </xf>
    <xf numFmtId="0" fontId="19" fillId="0" borderId="0" xfId="0" applyFont="1" applyAlignment="1">
      <alignment horizontal="center" vertical="center"/>
    </xf>
    <xf numFmtId="0" fontId="2" fillId="0" borderId="0" xfId="0" applyFont="1" applyAlignment="1">
      <alignment horizontal="left"/>
    </xf>
    <xf numFmtId="0" fontId="3" fillId="2" borderId="0" xfId="0" applyFont="1" applyFill="1" applyAlignment="1">
      <alignment horizontal="left"/>
    </xf>
    <xf numFmtId="0" fontId="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11" fillId="0" borderId="0" xfId="0" applyFont="1" applyAlignment="1">
      <alignment horizontal="left" wrapText="1"/>
    </xf>
    <xf numFmtId="0" fontId="3" fillId="0" borderId="0" xfId="0" applyNumberFormat="1" applyFont="1" applyAlignment="1">
      <alignment horizontal="left" wrapText="1"/>
    </xf>
    <xf numFmtId="0" fontId="12" fillId="0" borderId="0" xfId="0" applyNumberFormat="1" applyFont="1" applyAlignment="1">
      <alignment horizontal="left" wrapText="1"/>
    </xf>
    <xf numFmtId="0" fontId="1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19" fillId="0" borderId="0" xfId="0" applyFont="1" applyAlignment="1">
      <alignment horizontal="left" wrapText="1"/>
    </xf>
    <xf numFmtId="0" fontId="18" fillId="0" borderId="0" xfId="0" applyFont="1" applyAlignment="1">
      <alignment horizontal="left" wrapText="1"/>
    </xf>
    <xf numFmtId="0" fontId="25" fillId="0" borderId="0" xfId="0" applyFont="1" applyAlignment="1">
      <alignment horizontal="left" vertical="center" wrapText="1"/>
    </xf>
    <xf numFmtId="0" fontId="3" fillId="0" borderId="0" xfId="0" applyFont="1" applyAlignment="1">
      <alignment horizontal="left" vertical="top" wrapText="1"/>
    </xf>
    <xf numFmtId="0" fontId="25" fillId="0" borderId="0" xfId="0" applyFont="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3" fillId="0" borderId="0" xfId="0" applyFont="1" applyAlignment="1">
      <alignment horizontal="left" vertical="center" wrapText="1"/>
    </xf>
    <xf numFmtId="0" fontId="13" fillId="0" borderId="0" xfId="0" applyFont="1" applyAlignment="1">
      <alignment horizontal="center" wrapText="1"/>
    </xf>
    <xf numFmtId="0" fontId="20" fillId="0" borderId="0" xfId="0" applyFont="1" applyAlignment="1">
      <alignment horizontal="left" vertical="top" wrapText="1"/>
    </xf>
    <xf numFmtId="0" fontId="13" fillId="0" borderId="0" xfId="0" applyFont="1" applyAlignment="1"/>
    <xf numFmtId="0" fontId="4" fillId="2" borderId="0" xfId="0" applyFont="1" applyFill="1" applyAlignment="1">
      <alignment horizontal="left" vertical="top" wrapText="1"/>
    </xf>
    <xf numFmtId="0" fontId="13" fillId="2" borderId="0" xfId="0" applyFont="1" applyFill="1" applyAlignment="1">
      <alignment horizontal="left" vertical="top" wrapText="1"/>
    </xf>
    <xf numFmtId="0" fontId="13" fillId="0" borderId="0" xfId="0" applyFont="1" applyAlignment="1">
      <alignment horizontal="left" wrapText="1"/>
    </xf>
    <xf numFmtId="0" fontId="19" fillId="0" borderId="0" xfId="0" applyFont="1" applyAlignment="1">
      <alignment horizontal="left" vertical="top" wrapText="1"/>
    </xf>
    <xf numFmtId="0" fontId="19" fillId="2" borderId="0" xfId="0" applyFont="1" applyFill="1" applyAlignment="1">
      <alignment vertical="top" wrapText="1"/>
    </xf>
    <xf numFmtId="0" fontId="18" fillId="0" borderId="0" xfId="0" applyFont="1" applyAlignment="1">
      <alignment horizontal="center"/>
    </xf>
    <xf numFmtId="0" fontId="19" fillId="2" borderId="0" xfId="0" applyFont="1" applyFill="1" applyAlignment="1">
      <alignment horizontal="left" vertical="top" wrapText="1"/>
    </xf>
    <xf numFmtId="0" fontId="18" fillId="2" borderId="0" xfId="0" applyFont="1" applyFill="1" applyAlignment="1">
      <alignment horizontal="center"/>
    </xf>
    <xf numFmtId="0" fontId="19" fillId="2" borderId="1"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xf>
    <xf numFmtId="0" fontId="1" fillId="10" borderId="1" xfId="6" applyFont="1" applyFill="1" applyBorder="1" applyAlignment="1">
      <alignment horizontal="left" vertical="top" wrapText="1"/>
    </xf>
    <xf numFmtId="0" fontId="2" fillId="0" borderId="0" xfId="6" applyFont="1" applyFill="1" applyAlignment="1">
      <alignment horizontal="right"/>
    </xf>
    <xf numFmtId="0" fontId="1" fillId="2" borderId="1" xfId="6" applyFont="1" applyFill="1" applyBorder="1" applyAlignment="1">
      <alignment horizontal="left" vertical="top" wrapText="1"/>
    </xf>
    <xf numFmtId="0" fontId="1" fillId="2" borderId="1" xfId="6" applyFont="1" applyFill="1" applyBorder="1" applyAlignment="1">
      <alignment horizontal="center" vertical="top" wrapText="1"/>
    </xf>
    <xf numFmtId="0" fontId="2" fillId="2" borderId="0" xfId="6" applyFont="1" applyFill="1" applyAlignment="1">
      <alignment horizontal="center"/>
    </xf>
    <xf numFmtId="0" fontId="1" fillId="0" borderId="1" xfId="6" applyFont="1" applyFill="1" applyBorder="1" applyAlignment="1">
      <alignment horizontal="center"/>
    </xf>
    <xf numFmtId="0" fontId="2" fillId="0" borderId="1" xfId="6" applyFont="1" applyFill="1" applyBorder="1" applyAlignment="1">
      <alignment horizontal="center" vertical="center" wrapText="1"/>
    </xf>
    <xf numFmtId="0" fontId="1" fillId="10" borderId="1" xfId="6" applyFont="1" applyFill="1" applyBorder="1" applyAlignment="1">
      <alignment horizontal="center" vertical="top" wrapText="1"/>
    </xf>
    <xf numFmtId="0" fontId="19" fillId="0" borderId="5" xfId="0" applyFont="1" applyFill="1" applyBorder="1" applyAlignment="1">
      <alignment horizontal="left" vertical="top" wrapText="1"/>
    </xf>
    <xf numFmtId="0" fontId="19" fillId="0" borderId="0" xfId="0" applyFont="1" applyFill="1" applyBorder="1" applyAlignment="1">
      <alignment horizontal="left" vertical="top" wrapText="1"/>
    </xf>
    <xf numFmtId="0" fontId="32" fillId="0" borderId="0" xfId="0" applyFont="1" applyAlignment="1">
      <alignment horizontal="left" vertical="top" wrapText="1"/>
    </xf>
    <xf numFmtId="0" fontId="33" fillId="3" borderId="1" xfId="0" applyFont="1" applyFill="1" applyBorder="1" applyAlignment="1">
      <alignment horizontal="left" wrapText="1"/>
    </xf>
    <xf numFmtId="0" fontId="33" fillId="3" borderId="1" xfId="0" applyFont="1" applyFill="1" applyBorder="1" applyAlignment="1">
      <alignment horizontal="left" vertical="top" wrapText="1"/>
    </xf>
    <xf numFmtId="0" fontId="31" fillId="0" borderId="0" xfId="0" applyFont="1" applyAlignment="1">
      <alignment horizontal="left" vertical="top"/>
    </xf>
    <xf numFmtId="0" fontId="22" fillId="0" borderId="0" xfId="0" applyFont="1" applyFill="1" applyAlignment="1">
      <alignment horizontal="left" wrapText="1"/>
    </xf>
    <xf numFmtId="0" fontId="31" fillId="3"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1" xfId="0" applyFont="1" applyBorder="1" applyAlignment="1">
      <alignment horizontal="left" vertical="top" wrapText="1"/>
    </xf>
    <xf numFmtId="4" fontId="19" fillId="0" borderId="0" xfId="0" applyNumberFormat="1" applyFont="1" applyAlignment="1">
      <alignment horizontal="center"/>
    </xf>
    <xf numFmtId="0" fontId="18" fillId="2" borderId="0" xfId="0" applyFont="1" applyFill="1" applyAlignment="1">
      <alignment horizontal="left"/>
    </xf>
    <xf numFmtId="0" fontId="19" fillId="0" borderId="0" xfId="0" applyFont="1" applyAlignment="1">
      <alignment horizontal="left"/>
    </xf>
    <xf numFmtId="0" fontId="18" fillId="0" borderId="0" xfId="0" applyFont="1" applyAlignment="1">
      <alignment horizontal="left"/>
    </xf>
    <xf numFmtId="0" fontId="18" fillId="6" borderId="0" xfId="0" applyFont="1" applyFill="1" applyAlignment="1">
      <alignment horizontal="left" vertical="top" wrapText="1"/>
    </xf>
    <xf numFmtId="0" fontId="18" fillId="25" borderId="0" xfId="0" applyFont="1" applyFill="1" applyAlignment="1">
      <alignment horizontal="left" vertical="top" wrapText="1"/>
    </xf>
    <xf numFmtId="0" fontId="76" fillId="0" borderId="0" xfId="0" applyFont="1" applyAlignment="1">
      <alignment horizontal="left" vertical="top"/>
    </xf>
    <xf numFmtId="0" fontId="64" fillId="0" borderId="0" xfId="0" applyFont="1" applyAlignment="1">
      <alignment horizontal="left" vertical="top" wrapText="1"/>
    </xf>
    <xf numFmtId="0" fontId="21" fillId="0" borderId="0" xfId="0" applyFont="1" applyFill="1" applyBorder="1" applyAlignment="1">
      <alignment horizontal="left" vertical="center" wrapText="1"/>
    </xf>
    <xf numFmtId="0" fontId="59" fillId="2" borderId="0" xfId="0" applyFont="1" applyFill="1" applyAlignment="1">
      <alignment horizontal="center" vertical="center" wrapText="1"/>
    </xf>
    <xf numFmtId="0" fontId="19" fillId="2" borderId="1" xfId="13" applyFont="1" applyFill="1" applyBorder="1" applyAlignment="1">
      <alignment horizontal="left" vertical="top" wrapText="1"/>
    </xf>
    <xf numFmtId="0" fontId="21" fillId="14" borderId="1" xfId="0" applyFont="1" applyFill="1" applyBorder="1" applyAlignment="1">
      <alignment horizontal="left" vertical="top" wrapText="1"/>
    </xf>
    <xf numFmtId="0" fontId="56" fillId="13" borderId="4" xfId="0" applyFont="1" applyFill="1" applyBorder="1" applyAlignment="1">
      <alignment horizontal="left" vertical="top" wrapText="1"/>
    </xf>
    <xf numFmtId="0" fontId="56" fillId="13" borderId="2" xfId="0" applyFont="1" applyFill="1" applyBorder="1" applyAlignment="1">
      <alignment horizontal="left" vertical="top" wrapText="1"/>
    </xf>
    <xf numFmtId="0" fontId="24" fillId="0" borderId="1" xfId="0" applyFont="1" applyBorder="1" applyAlignment="1">
      <alignment horizontal="left" vertical="top" wrapText="1"/>
    </xf>
    <xf numFmtId="0" fontId="19" fillId="2" borderId="1" xfId="0" applyFont="1" applyFill="1" applyBorder="1" applyAlignment="1">
      <alignment horizontal="left" vertical="top" wrapText="1"/>
    </xf>
    <xf numFmtId="0" fontId="19" fillId="0" borderId="0" xfId="0" applyFont="1" applyAlignment="1">
      <alignment horizontal="left" vertical="center" wrapText="1"/>
    </xf>
    <xf numFmtId="0" fontId="18" fillId="8" borderId="0" xfId="0" applyFont="1" applyFill="1" applyAlignment="1">
      <alignment horizontal="left"/>
    </xf>
    <xf numFmtId="41" fontId="18" fillId="0" borderId="0" xfId="11" applyFont="1" applyAlignment="1">
      <alignment horizontal="center"/>
    </xf>
    <xf numFmtId="3" fontId="18" fillId="2" borderId="0" xfId="0" applyNumberFormat="1" applyFont="1" applyFill="1" applyAlignment="1">
      <alignment horizontal="center"/>
    </xf>
    <xf numFmtId="0" fontId="18" fillId="0" borderId="0" xfId="0" applyFont="1" applyFill="1" applyAlignment="1">
      <alignment horizontal="left"/>
    </xf>
    <xf numFmtId="0" fontId="18" fillId="2" borderId="0" xfId="0" applyFont="1" applyFill="1" applyAlignment="1">
      <alignment horizontal="left" vertical="top" wrapText="1"/>
    </xf>
    <xf numFmtId="0" fontId="19" fillId="7" borderId="0" xfId="0" applyFont="1" applyFill="1" applyAlignment="1">
      <alignment horizontal="left" vertical="top" wrapText="1"/>
    </xf>
    <xf numFmtId="49" fontId="18" fillId="0" borderId="0" xfId="0" applyNumberFormat="1" applyFont="1" applyAlignment="1">
      <alignment horizontal="center"/>
    </xf>
    <xf numFmtId="3" fontId="18" fillId="0" borderId="0" xfId="0" applyNumberFormat="1" applyFont="1" applyAlignment="1">
      <alignment horizontal="center"/>
    </xf>
    <xf numFmtId="0" fontId="18" fillId="11" borderId="5" xfId="0" applyFont="1" applyFill="1" applyBorder="1" applyAlignment="1">
      <alignment horizontal="left" vertical="top" wrapText="1"/>
    </xf>
    <xf numFmtId="0" fontId="18" fillId="11" borderId="0" xfId="0" applyFont="1" applyFill="1" applyBorder="1" applyAlignment="1">
      <alignment horizontal="left" vertical="top" wrapText="1"/>
    </xf>
    <xf numFmtId="0" fontId="19" fillId="20" borderId="0" xfId="0" applyFont="1" applyFill="1" applyAlignment="1">
      <alignment horizontal="left" vertical="top" wrapText="1"/>
    </xf>
    <xf numFmtId="0" fontId="19" fillId="5" borderId="0" xfId="0" applyFont="1" applyFill="1" applyAlignment="1">
      <alignment horizontal="left" vertical="top" wrapText="1"/>
    </xf>
    <xf numFmtId="0" fontId="0" fillId="3" borderId="0" xfId="0" applyFill="1" applyAlignment="1">
      <alignment horizontal="left" vertical="top" wrapText="1"/>
    </xf>
    <xf numFmtId="0" fontId="19" fillId="2" borderId="0" xfId="0" applyFont="1" applyFill="1" applyAlignment="1">
      <alignment horizontal="left"/>
    </xf>
    <xf numFmtId="0" fontId="54" fillId="0" borderId="0" xfId="0" applyFont="1" applyAlignment="1">
      <alignment horizontal="left" vertical="top" wrapText="1"/>
    </xf>
    <xf numFmtId="0" fontId="54" fillId="16" borderId="0" xfId="0" applyFont="1" applyFill="1" applyAlignment="1">
      <alignment horizontal="left" vertical="top" wrapText="1"/>
    </xf>
    <xf numFmtId="0" fontId="18" fillId="0" borderId="0" xfId="0" applyFont="1" applyAlignment="1">
      <alignment horizontal="left" vertical="top" wrapText="1"/>
    </xf>
    <xf numFmtId="0" fontId="19" fillId="3" borderId="0" xfId="0" applyFont="1" applyFill="1" applyAlignment="1">
      <alignment horizontal="left" wrapText="1"/>
    </xf>
    <xf numFmtId="0" fontId="19" fillId="4" borderId="0" xfId="0" applyFont="1" applyFill="1" applyAlignment="1">
      <alignment horizontal="left" vertical="top" wrapText="1"/>
    </xf>
    <xf numFmtId="0" fontId="19" fillId="3" borderId="0" xfId="0" applyFont="1" applyFill="1" applyAlignment="1">
      <alignment horizontal="left" vertical="top" wrapText="1"/>
    </xf>
    <xf numFmtId="0" fontId="18" fillId="0" borderId="0" xfId="0" applyFont="1" applyAlignment="1">
      <alignment horizontal="center" vertical="center" wrapText="1"/>
    </xf>
    <xf numFmtId="0" fontId="44" fillId="2" borderId="1" xfId="0" applyFont="1" applyFill="1" applyBorder="1" applyAlignment="1">
      <alignment horizontal="center" vertical="top" wrapText="1"/>
    </xf>
    <xf numFmtId="0" fontId="44" fillId="0" borderId="1" xfId="0" applyFont="1" applyFill="1" applyBorder="1" applyAlignment="1">
      <alignment horizontal="center" vertical="top" wrapText="1"/>
    </xf>
    <xf numFmtId="0" fontId="20" fillId="0" borderId="1" xfId="0" applyFont="1" applyFill="1" applyBorder="1" applyAlignment="1">
      <alignment horizontal="center"/>
    </xf>
    <xf numFmtId="0" fontId="10" fillId="2" borderId="0" xfId="0" applyFont="1" applyFill="1" applyAlignment="1">
      <alignment horizontal="center"/>
    </xf>
    <xf numFmtId="0" fontId="10" fillId="0" borderId="0" xfId="0" applyFont="1" applyFill="1" applyAlignment="1">
      <alignment horizontal="center"/>
    </xf>
    <xf numFmtId="0" fontId="20" fillId="10" borderId="0" xfId="0" applyFont="1" applyFill="1" applyAlignment="1">
      <alignment horizontal="left" vertical="center"/>
    </xf>
    <xf numFmtId="0" fontId="18" fillId="27" borderId="0" xfId="0" applyFont="1" applyFill="1" applyAlignment="1">
      <alignment horizontal="center" wrapText="1"/>
    </xf>
    <xf numFmtId="3" fontId="20" fillId="0" borderId="0" xfId="0" applyNumberFormat="1" applyFont="1" applyFill="1" applyBorder="1" applyAlignment="1">
      <alignment horizontal="center"/>
    </xf>
    <xf numFmtId="0" fontId="27" fillId="0" borderId="0" xfId="0" applyFont="1" applyFill="1" applyAlignment="1">
      <alignment horizontal="center"/>
    </xf>
    <xf numFmtId="0" fontId="27" fillId="0" borderId="0" xfId="0" applyFont="1" applyFill="1" applyAlignment="1">
      <alignment horizontal="left"/>
    </xf>
    <xf numFmtId="0" fontId="27" fillId="2" borderId="0" xfId="0" applyFont="1" applyFill="1" applyAlignment="1">
      <alignment horizontal="center"/>
    </xf>
    <xf numFmtId="0" fontId="20" fillId="0" borderId="0" xfId="0" applyFont="1" applyAlignment="1">
      <alignment horizontal="left" vertical="center"/>
    </xf>
    <xf numFmtId="0" fontId="20" fillId="10" borderId="1" xfId="0" applyFont="1" applyFill="1" applyBorder="1" applyAlignment="1">
      <alignment horizontal="left" wrapText="1"/>
    </xf>
    <xf numFmtId="0" fontId="20" fillId="0" borderId="0" xfId="0" applyFont="1" applyAlignment="1">
      <alignment horizontal="left"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7" fillId="14" borderId="1" xfId="0" applyFont="1" applyFill="1" applyBorder="1" applyAlignment="1">
      <alignment horizontal="left" wrapText="1"/>
    </xf>
    <xf numFmtId="0" fontId="27" fillId="14" borderId="1" xfId="0" applyFont="1" applyFill="1" applyBorder="1" applyAlignment="1">
      <alignment horizontal="left"/>
    </xf>
    <xf numFmtId="0" fontId="73" fillId="14" borderId="1" xfId="0" applyFont="1" applyFill="1" applyBorder="1" applyAlignment="1">
      <alignment horizontal="left" wrapText="1"/>
    </xf>
    <xf numFmtId="0" fontId="20" fillId="0" borderId="3" xfId="0" applyFont="1" applyFill="1" applyBorder="1" applyAlignment="1">
      <alignment horizontal="center"/>
    </xf>
    <xf numFmtId="0" fontId="20" fillId="0" borderId="4" xfId="0" applyFont="1" applyFill="1" applyBorder="1" applyAlignment="1">
      <alignment horizontal="center"/>
    </xf>
    <xf numFmtId="0" fontId="20" fillId="0" borderId="2" xfId="0" applyFont="1" applyFill="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61" fillId="0" borderId="0" xfId="0" applyFont="1" applyAlignment="1">
      <alignment horizontal="left" vertical="top" wrapText="1"/>
    </xf>
    <xf numFmtId="0" fontId="18" fillId="10" borderId="0" xfId="0" applyFont="1" applyFill="1" applyAlignment="1">
      <alignment horizontal="left"/>
    </xf>
    <xf numFmtId="0" fontId="20" fillId="10" borderId="0" xfId="0" applyFont="1" applyFill="1" applyAlignment="1">
      <alignment horizontal="left" vertical="center" wrapText="1"/>
    </xf>
    <xf numFmtId="0" fontId="27" fillId="0" borderId="0" xfId="0" applyFont="1" applyAlignment="1">
      <alignment horizontal="center"/>
    </xf>
    <xf numFmtId="0" fontId="19" fillId="6" borderId="0" xfId="0" applyFont="1" applyFill="1" applyAlignment="1">
      <alignment horizontal="left" wrapText="1"/>
    </xf>
    <xf numFmtId="0" fontId="42" fillId="0" borderId="0" xfId="0" applyFont="1" applyAlignment="1">
      <alignment horizontal="left" wrapText="1"/>
    </xf>
    <xf numFmtId="0" fontId="62" fillId="0" borderId="0" xfId="0" applyFont="1" applyAlignment="1">
      <alignment horizontal="left" vertical="top" wrapText="1"/>
    </xf>
    <xf numFmtId="0" fontId="27" fillId="2" borderId="0" xfId="0" applyFont="1" applyFill="1" applyAlignment="1">
      <alignment horizontal="center" wrapText="1"/>
    </xf>
    <xf numFmtId="0" fontId="0" fillId="0" borderId="0" xfId="0" applyAlignment="1">
      <alignment horizontal="left"/>
    </xf>
    <xf numFmtId="0" fontId="27" fillId="2" borderId="0" xfId="0" applyFont="1" applyFill="1" applyAlignment="1">
      <alignment horizontal="center" vertical="center" wrapText="1"/>
    </xf>
    <xf numFmtId="0" fontId="27" fillId="0" borderId="0" xfId="0" applyFont="1" applyAlignment="1">
      <alignment horizontal="left"/>
    </xf>
    <xf numFmtId="0" fontId="73" fillId="7" borderId="0" xfId="0" applyFont="1" applyFill="1" applyAlignment="1">
      <alignment horizontal="left"/>
    </xf>
    <xf numFmtId="0" fontId="27" fillId="15" borderId="0" xfId="0" applyFont="1" applyFill="1" applyBorder="1" applyAlignment="1">
      <alignment horizontal="center"/>
    </xf>
    <xf numFmtId="0" fontId="27" fillId="10" borderId="0" xfId="0" applyFont="1" applyFill="1" applyAlignment="1">
      <alignment horizontal="center"/>
    </xf>
    <xf numFmtId="0" fontId="27" fillId="5" borderId="0" xfId="0" applyFont="1" applyFill="1" applyAlignment="1">
      <alignment horizontal="center"/>
    </xf>
    <xf numFmtId="0" fontId="19" fillId="15" borderId="0" xfId="0" applyFont="1" applyFill="1" applyAlignment="1">
      <alignment horizontal="left" vertical="top" wrapText="1"/>
    </xf>
    <xf numFmtId="0" fontId="27" fillId="23" borderId="0" xfId="0" applyFont="1" applyFill="1" applyAlignment="1">
      <alignment horizontal="left"/>
    </xf>
    <xf numFmtId="0" fontId="19" fillId="0" borderId="1" xfId="0" applyFont="1" applyBorder="1" applyAlignment="1">
      <alignment horizontal="left" vertical="top" wrapText="1"/>
    </xf>
    <xf numFmtId="0" fontId="18" fillId="10" borderId="0" xfId="0" applyFont="1" applyFill="1" applyAlignment="1">
      <alignment horizontal="left" wrapText="1"/>
    </xf>
    <xf numFmtId="0" fontId="18" fillId="12" borderId="0" xfId="0" applyFont="1" applyFill="1" applyAlignment="1">
      <alignment horizontal="left" wrapText="1"/>
    </xf>
    <xf numFmtId="0" fontId="19" fillId="0" borderId="0" xfId="0" applyFont="1" applyFill="1" applyAlignment="1">
      <alignment horizontal="left" vertical="center" wrapText="1"/>
    </xf>
    <xf numFmtId="0" fontId="19" fillId="0" borderId="0" xfId="0" applyFont="1" applyAlignment="1">
      <alignment horizontal="left" vertical="center"/>
    </xf>
    <xf numFmtId="0" fontId="29" fillId="2" borderId="5" xfId="0" applyFont="1" applyFill="1" applyBorder="1" applyAlignment="1">
      <alignment horizontal="left"/>
    </xf>
    <xf numFmtId="0" fontId="29" fillId="2" borderId="0" xfId="0" applyFont="1" applyFill="1" applyBorder="1" applyAlignment="1">
      <alignment horizontal="left"/>
    </xf>
    <xf numFmtId="0" fontId="27" fillId="2" borderId="0" xfId="0" applyFont="1" applyFill="1" applyAlignment="1">
      <alignment horizontal="left"/>
    </xf>
    <xf numFmtId="0" fontId="20" fillId="17" borderId="0" xfId="0" applyFont="1" applyFill="1" applyAlignment="1">
      <alignment horizontal="left" vertical="center" wrapText="1"/>
    </xf>
    <xf numFmtId="0" fontId="20" fillId="5" borderId="0" xfId="0" applyFont="1" applyFill="1" applyAlignment="1">
      <alignment horizontal="left" vertical="top" wrapText="1"/>
    </xf>
    <xf numFmtId="0" fontId="20" fillId="0" borderId="0" xfId="0" applyFont="1" applyAlignment="1">
      <alignment horizontal="left" vertical="center" wrapText="1"/>
    </xf>
    <xf numFmtId="0" fontId="20" fillId="16" borderId="0" xfId="0" applyFont="1" applyFill="1" applyAlignment="1">
      <alignment horizontal="left" vertical="center" wrapText="1"/>
    </xf>
    <xf numFmtId="0" fontId="27" fillId="2" borderId="0" xfId="0" applyFont="1" applyFill="1" applyAlignment="1">
      <alignment horizontal="left" vertical="top" wrapText="1"/>
    </xf>
    <xf numFmtId="0" fontId="27" fillId="15" borderId="5" xfId="0" applyFont="1" applyFill="1" applyBorder="1" applyAlignment="1">
      <alignment horizontal="center"/>
    </xf>
    <xf numFmtId="0" fontId="19" fillId="26" borderId="0" xfId="0" applyFont="1" applyFill="1" applyAlignment="1">
      <alignment horizontal="left" vertical="top" wrapText="1"/>
    </xf>
    <xf numFmtId="0" fontId="18" fillId="7" borderId="0" xfId="0" applyFont="1" applyFill="1" applyAlignment="1">
      <alignment horizontal="center"/>
    </xf>
    <xf numFmtId="0" fontId="18" fillId="7" borderId="0" xfId="0" applyFont="1" applyFill="1" applyAlignment="1">
      <alignment horizontal="center" wrapText="1"/>
    </xf>
    <xf numFmtId="0" fontId="19" fillId="28" borderId="0" xfId="0" applyFont="1" applyFill="1" applyAlignment="1">
      <alignment horizontal="left" vertical="top" wrapText="1"/>
    </xf>
    <xf numFmtId="0" fontId="18" fillId="2" borderId="0" xfId="0" applyFont="1" applyFill="1" applyAlignment="1">
      <alignment horizontal="center" vertical="center" wrapText="1"/>
    </xf>
    <xf numFmtId="0" fontId="19" fillId="2" borderId="0" xfId="0" applyFont="1" applyFill="1" applyAlignment="1">
      <alignment horizontal="left" wrapText="1"/>
    </xf>
    <xf numFmtId="0" fontId="18" fillId="2" borderId="0" xfId="0" applyFont="1" applyFill="1" applyAlignment="1">
      <alignment horizontal="left" wrapText="1"/>
    </xf>
    <xf numFmtId="0" fontId="18" fillId="0" borderId="0" xfId="0" applyFont="1" applyAlignment="1">
      <alignment horizontal="center" vertical="top" wrapText="1"/>
    </xf>
    <xf numFmtId="0" fontId="19" fillId="5" borderId="0" xfId="0" applyFont="1" applyFill="1" applyAlignment="1">
      <alignment horizontal="left" wrapText="1"/>
    </xf>
    <xf numFmtId="0" fontId="19" fillId="8" borderId="0" xfId="0" applyFont="1" applyFill="1" applyAlignment="1">
      <alignment horizontal="left" wrapText="1"/>
    </xf>
    <xf numFmtId="0" fontId="18" fillId="4" borderId="0" xfId="0" applyFont="1" applyFill="1" applyAlignment="1">
      <alignment horizontal="center"/>
    </xf>
    <xf numFmtId="0" fontId="18" fillId="12" borderId="0" xfId="0" applyFont="1" applyFill="1" applyAlignment="1">
      <alignment horizontal="left"/>
    </xf>
    <xf numFmtId="0" fontId="19" fillId="21" borderId="0" xfId="0" applyFont="1" applyFill="1" applyAlignment="1">
      <alignment horizontal="left" wrapText="1"/>
    </xf>
    <xf numFmtId="0" fontId="19" fillId="14" borderId="0" xfId="0" applyFont="1" applyFill="1" applyAlignment="1">
      <alignment horizontal="left" vertical="top" wrapText="1"/>
    </xf>
    <xf numFmtId="15" fontId="18" fillId="0" borderId="1" xfId="0" applyNumberFormat="1" applyFont="1" applyFill="1" applyBorder="1" applyAlignment="1">
      <alignment horizontal="center"/>
    </xf>
    <xf numFmtId="15" fontId="18" fillId="0" borderId="1" xfId="0" applyNumberFormat="1" applyFont="1" applyFill="1" applyBorder="1" applyAlignment="1">
      <alignment horizontal="center" vertical="center" wrapText="1"/>
    </xf>
    <xf numFmtId="0" fontId="18" fillId="2" borderId="0" xfId="0" applyFont="1" applyFill="1" applyAlignment="1">
      <alignment horizontal="center" vertical="top" wrapText="1"/>
    </xf>
    <xf numFmtId="0" fontId="18" fillId="0" borderId="0" xfId="13" applyFont="1" applyAlignment="1">
      <alignment horizontal="center"/>
    </xf>
    <xf numFmtId="0" fontId="24" fillId="0" borderId="0" xfId="0" applyFont="1" applyAlignment="1">
      <alignment horizontal="left" vertical="top" wrapText="1"/>
    </xf>
    <xf numFmtId="0" fontId="18" fillId="0" borderId="0" xfId="0" applyFont="1" applyFill="1" applyBorder="1" applyAlignment="1">
      <alignment horizontal="center"/>
    </xf>
    <xf numFmtId="3" fontId="18" fillId="0" borderId="1" xfId="0" applyNumberFormat="1" applyFont="1" applyBorder="1" applyAlignment="1">
      <alignment horizontal="center"/>
    </xf>
    <xf numFmtId="0" fontId="18" fillId="16" borderId="0" xfId="0" applyFont="1" applyFill="1" applyAlignment="1">
      <alignment horizontal="left" vertical="top" wrapText="1"/>
    </xf>
    <xf numFmtId="0" fontId="18" fillId="0" borderId="0" xfId="0" applyFont="1" applyAlignment="1">
      <alignment horizontal="center" wrapText="1"/>
    </xf>
    <xf numFmtId="0" fontId="19" fillId="8" borderId="0" xfId="0" applyFont="1" applyFill="1" applyAlignment="1">
      <alignment horizontal="center" vertical="center"/>
    </xf>
    <xf numFmtId="0" fontId="19" fillId="0" borderId="0" xfId="0" applyFont="1" applyAlignment="1">
      <alignment horizontal="center" vertical="center"/>
    </xf>
    <xf numFmtId="0" fontId="18" fillId="2" borderId="1" xfId="0" applyFont="1" applyFill="1" applyBorder="1" applyAlignment="1">
      <alignment horizontal="center"/>
    </xf>
    <xf numFmtId="0" fontId="19" fillId="19" borderId="0" xfId="0" applyFont="1" applyFill="1" applyAlignment="1">
      <alignment horizontal="left" wrapText="1"/>
    </xf>
    <xf numFmtId="0" fontId="19" fillId="5" borderId="1" xfId="0" applyFont="1" applyFill="1" applyBorder="1" applyAlignment="1">
      <alignment wrapText="1"/>
    </xf>
    <xf numFmtId="3" fontId="18" fillId="2" borderId="0" xfId="1" applyNumberFormat="1" applyFont="1" applyFill="1" applyAlignment="1">
      <alignment horizontal="right"/>
    </xf>
    <xf numFmtId="14" fontId="29" fillId="0" borderId="0" xfId="0" applyNumberFormat="1" applyFont="1" applyFill="1"/>
    <xf numFmtId="0" fontId="20" fillId="0" borderId="0" xfId="0" applyFont="1" applyFill="1" applyAlignment="1">
      <alignment horizontal="right"/>
    </xf>
    <xf numFmtId="3" fontId="27" fillId="6" borderId="0" xfId="0" applyNumberFormat="1" applyFont="1" applyFill="1" applyAlignment="1">
      <alignment horizontal="center"/>
    </xf>
    <xf numFmtId="4" fontId="19" fillId="6" borderId="0" xfId="0" applyNumberFormat="1" applyFont="1" applyFill="1"/>
    <xf numFmtId="15" fontId="18" fillId="6" borderId="1" xfId="0" applyNumberFormat="1" applyFont="1" applyFill="1" applyBorder="1" applyAlignment="1">
      <alignment horizontal="center"/>
    </xf>
  </cellXfs>
  <cellStyles count="14">
    <cellStyle name="Hipervínculo" xfId="13" builtinId="8"/>
    <cellStyle name="Millares" xfId="1" builtinId="3"/>
    <cellStyle name="Millares [0]" xfId="11" builtinId="6"/>
    <cellStyle name="Millares [0] 2" xfId="10"/>
    <cellStyle name="Millares 2" xfId="2"/>
    <cellStyle name="Millares 3" xfId="3"/>
    <cellStyle name="Millares 4" xfId="4"/>
    <cellStyle name="Millares 5" xfId="5"/>
    <cellStyle name="Normal" xfId="0" builtinId="0"/>
    <cellStyle name="Normal 2" xfId="6"/>
    <cellStyle name="Normal 3" xfId="7"/>
    <cellStyle name="Porcentaje" xfId="8" builtinId="5"/>
    <cellStyle name="Porcentaje 2" xfId="12"/>
    <cellStyle name="Porcentual 2" xfId="9"/>
  </cellStyles>
  <dxfs count="0"/>
  <tableStyles count="0" defaultTableStyle="TableStyleMedium9" defaultPivotStyle="PivotStyleLight16"/>
  <colors>
    <mruColors>
      <color rgb="FF00FFFF"/>
      <color rgb="FF0066FF"/>
      <color rgb="FFFF66FF"/>
      <color rgb="FF00FFCC"/>
      <color rgb="FF00FF99"/>
      <color rgb="FF339933"/>
      <color rgb="FFFFFF00"/>
      <color rgb="FFFFFFCC"/>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hyperlink" Target="https://accounter.co/normatividad/leyes/8063-por-el-cual-se-crea-el-sistema-de-seguridad-social-integral-y-se-dictan-otras-disposiciones.html" TargetMode="External"/><Relationship Id="rId1" Type="http://schemas.openxmlformats.org/officeDocument/2006/relationships/hyperlink" Target="https://accounter.co/normatividad/leyes/3335-por-la-cual-se-introducen-reformas-al-codigo-sustantivo-del-trabajo-y-se-dictan-otras-disposiciones.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ecretariasenado.gov.co/senado/basedoc/ley_2010_2019.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hyperlink" Target="https://actualicese.com/decreto-1778-del-20-12-2021/"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ctualicese.com/ley-1955-de-25-05-2019-plan-nacional-de-desarrollo-2018-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7"/>
  <sheetViews>
    <sheetView topLeftCell="A7" workbookViewId="0">
      <selection activeCell="B11" sqref="B11"/>
    </sheetView>
  </sheetViews>
  <sheetFormatPr baseColWidth="10" defaultRowHeight="15" x14ac:dyDescent="0.2"/>
  <cols>
    <col min="1" max="1" width="11.42578125" style="45"/>
    <col min="2" max="2" width="91.42578125" style="45" customWidth="1"/>
    <col min="3" max="16384" width="11.42578125" style="45"/>
  </cols>
  <sheetData>
    <row r="1" spans="2:2" ht="15.75" x14ac:dyDescent="0.25">
      <c r="B1" s="198" t="s">
        <v>686</v>
      </c>
    </row>
    <row r="3" spans="2:2" ht="31.5" x14ac:dyDescent="0.25">
      <c r="B3" s="203" t="s">
        <v>685</v>
      </c>
    </row>
    <row r="4" spans="2:2" ht="9.9499999999999993" customHeight="1" x14ac:dyDescent="0.2"/>
    <row r="5" spans="2:2" ht="81.75" customHeight="1" x14ac:dyDescent="0.2">
      <c r="B5" s="93" t="s">
        <v>839</v>
      </c>
    </row>
    <row r="6" spans="2:2" ht="9.9499999999999993" customHeight="1" x14ac:dyDescent="0.2"/>
    <row r="7" spans="2:2" ht="78.75" x14ac:dyDescent="0.2">
      <c r="B7" s="385" t="s">
        <v>687</v>
      </c>
    </row>
    <row r="8" spans="2:2" ht="9.9499999999999993" customHeight="1" x14ac:dyDescent="0.2"/>
    <row r="9" spans="2:2" ht="63.75" customHeight="1" x14ac:dyDescent="0.2">
      <c r="B9" s="323" t="s">
        <v>688</v>
      </c>
    </row>
    <row r="11" spans="2:2" ht="31.5" x14ac:dyDescent="0.25">
      <c r="B11" s="243" t="s">
        <v>689</v>
      </c>
    </row>
    <row r="13" spans="2:2" ht="45" x14ac:dyDescent="0.2">
      <c r="B13" s="202" t="s">
        <v>690</v>
      </c>
    </row>
    <row r="15" spans="2:2" ht="30" x14ac:dyDescent="0.2">
      <c r="B15" s="202" t="s">
        <v>691</v>
      </c>
    </row>
    <row r="16" spans="2:2" ht="30" x14ac:dyDescent="0.2">
      <c r="B16" s="202" t="s">
        <v>692</v>
      </c>
    </row>
    <row r="17" spans="2:2" ht="30" x14ac:dyDescent="0.2">
      <c r="B17" s="202" t="s">
        <v>693</v>
      </c>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H15" sqref="H15"/>
    </sheetView>
  </sheetViews>
  <sheetFormatPr baseColWidth="10" defaultRowHeight="15" x14ac:dyDescent="0.2"/>
  <cols>
    <col min="1" max="1" width="7.7109375" style="45" customWidth="1"/>
    <col min="2" max="2" width="52.28515625" style="45" customWidth="1"/>
    <col min="3" max="3" width="2.5703125" style="45" customWidth="1"/>
    <col min="4" max="4" width="14.42578125" style="45" customWidth="1"/>
    <col min="5" max="5" width="16.140625" style="45" customWidth="1"/>
    <col min="6" max="6" width="18" style="45" customWidth="1"/>
    <col min="7" max="16384" width="11.42578125" style="45"/>
  </cols>
  <sheetData>
    <row r="1" spans="1:6" ht="15.75" x14ac:dyDescent="0.2">
      <c r="A1" s="548" t="s">
        <v>1002</v>
      </c>
      <c r="B1" s="549"/>
      <c r="C1" s="112"/>
      <c r="D1" s="112"/>
      <c r="E1" s="473" t="s">
        <v>989</v>
      </c>
      <c r="F1" s="473" t="s">
        <v>990</v>
      </c>
    </row>
    <row r="2" spans="1:6" ht="15.75" x14ac:dyDescent="0.2">
      <c r="A2" s="550"/>
      <c r="B2" s="551"/>
      <c r="C2" s="112"/>
      <c r="D2" s="112"/>
      <c r="E2" s="477">
        <f>Vr!V8</f>
        <v>36308</v>
      </c>
      <c r="F2" s="477">
        <f>Vr!W8</f>
        <v>38004</v>
      </c>
    </row>
    <row r="3" spans="1:6" x14ac:dyDescent="0.2">
      <c r="A3" s="550"/>
      <c r="B3" s="551"/>
      <c r="C3" s="112"/>
      <c r="D3" s="112"/>
      <c r="E3" s="547" t="s">
        <v>994</v>
      </c>
      <c r="F3" s="547"/>
    </row>
    <row r="4" spans="1:6" x14ac:dyDescent="0.2">
      <c r="A4" s="550"/>
      <c r="B4" s="551"/>
      <c r="C4" s="112"/>
      <c r="D4" s="112"/>
      <c r="E4" s="112"/>
      <c r="F4" s="112"/>
    </row>
    <row r="5" spans="1:6" ht="15.75" x14ac:dyDescent="0.2">
      <c r="A5" s="550"/>
      <c r="B5" s="551"/>
      <c r="C5" s="112"/>
      <c r="D5" s="474" t="s">
        <v>995</v>
      </c>
      <c r="E5" s="112" t="s">
        <v>998</v>
      </c>
      <c r="F5" s="112" t="s">
        <v>997</v>
      </c>
    </row>
    <row r="6" spans="1:6" ht="15.75" x14ac:dyDescent="0.25">
      <c r="A6" s="552"/>
      <c r="B6" s="553"/>
      <c r="C6" s="112"/>
      <c r="D6" s="474" t="s">
        <v>996</v>
      </c>
      <c r="E6" s="475">
        <v>2021</v>
      </c>
      <c r="F6" s="475">
        <v>2022</v>
      </c>
    </row>
    <row r="7" spans="1:6" ht="15.75" x14ac:dyDescent="0.25">
      <c r="A7" s="112"/>
      <c r="B7" s="112"/>
      <c r="C7" s="112"/>
      <c r="D7" s="112"/>
      <c r="E7" s="475"/>
      <c r="F7" s="475" t="s">
        <v>0</v>
      </c>
    </row>
    <row r="8" spans="1:6" x14ac:dyDescent="0.2">
      <c r="A8" s="112">
        <v>1</v>
      </c>
      <c r="B8" s="112" t="s">
        <v>248</v>
      </c>
      <c r="C8" s="112"/>
      <c r="D8" s="131">
        <v>10</v>
      </c>
      <c r="E8" s="131">
        <f t="shared" ref="E8:E17" si="0">ROUND((D8*$E$2),-3)</f>
        <v>363000</v>
      </c>
      <c r="F8" s="131">
        <f>ROUND((D8*$F$2),-3)</f>
        <v>380000</v>
      </c>
    </row>
    <row r="9" spans="1:6" x14ac:dyDescent="0.2">
      <c r="A9" s="112">
        <f>A8+1</f>
        <v>2</v>
      </c>
      <c r="B9" s="112" t="s">
        <v>1003</v>
      </c>
      <c r="C9" s="112"/>
      <c r="D9" s="131">
        <v>95</v>
      </c>
      <c r="E9" s="131">
        <f t="shared" si="0"/>
        <v>3449000</v>
      </c>
      <c r="F9" s="131">
        <f t="shared" ref="F9:F17" si="1">ROUND((D9*$F$2),-3)</f>
        <v>3610000</v>
      </c>
    </row>
    <row r="10" spans="1:6" x14ac:dyDescent="0.2">
      <c r="A10" s="112">
        <f t="shared" ref="A10:A22" si="2">A9+1</f>
        <v>3</v>
      </c>
      <c r="B10" s="112" t="s">
        <v>1004</v>
      </c>
      <c r="C10" s="112"/>
      <c r="D10" s="131">
        <v>4</v>
      </c>
      <c r="E10" s="131">
        <f t="shared" si="0"/>
        <v>145000</v>
      </c>
      <c r="F10" s="131">
        <f t="shared" si="1"/>
        <v>152000</v>
      </c>
    </row>
    <row r="11" spans="1:6" x14ac:dyDescent="0.2">
      <c r="A11" s="112">
        <f t="shared" si="2"/>
        <v>4</v>
      </c>
      <c r="B11" s="112" t="s">
        <v>1005</v>
      </c>
      <c r="C11" s="112"/>
      <c r="D11" s="131">
        <v>27</v>
      </c>
      <c r="E11" s="131">
        <f t="shared" si="0"/>
        <v>980000</v>
      </c>
      <c r="F11" s="131">
        <f t="shared" si="1"/>
        <v>1026000</v>
      </c>
    </row>
    <row r="12" spans="1:6" x14ac:dyDescent="0.2">
      <c r="A12" s="112">
        <f t="shared" si="2"/>
        <v>5</v>
      </c>
      <c r="B12" s="112" t="s">
        <v>991</v>
      </c>
      <c r="C12" s="112" t="s">
        <v>993</v>
      </c>
      <c r="D12" s="131">
        <v>1400</v>
      </c>
      <c r="E12" s="131">
        <f t="shared" si="0"/>
        <v>50831000</v>
      </c>
      <c r="F12" s="131">
        <f t="shared" si="1"/>
        <v>53206000</v>
      </c>
    </row>
    <row r="13" spans="1:6" x14ac:dyDescent="0.2">
      <c r="A13" s="112">
        <f t="shared" si="2"/>
        <v>6</v>
      </c>
      <c r="B13" s="112" t="s">
        <v>999</v>
      </c>
      <c r="C13" s="112" t="s">
        <v>993</v>
      </c>
      <c r="D13" s="131">
        <v>3500</v>
      </c>
      <c r="E13" s="131">
        <f t="shared" si="0"/>
        <v>127078000</v>
      </c>
      <c r="F13" s="131">
        <f t="shared" si="1"/>
        <v>133014000</v>
      </c>
    </row>
    <row r="14" spans="1:6" x14ac:dyDescent="0.2">
      <c r="A14" s="112">
        <f t="shared" si="2"/>
        <v>7</v>
      </c>
      <c r="B14" s="112" t="s">
        <v>1000</v>
      </c>
      <c r="C14" s="112" t="s">
        <v>993</v>
      </c>
      <c r="D14" s="131">
        <v>4000</v>
      </c>
      <c r="E14" s="131">
        <f t="shared" si="0"/>
        <v>145232000</v>
      </c>
      <c r="F14" s="131">
        <f t="shared" si="1"/>
        <v>152016000</v>
      </c>
    </row>
    <row r="15" spans="1:6" x14ac:dyDescent="0.2">
      <c r="A15" s="112">
        <f t="shared" si="2"/>
        <v>8</v>
      </c>
      <c r="B15" s="459" t="s">
        <v>1007</v>
      </c>
      <c r="C15" s="112"/>
      <c r="D15" s="131">
        <v>100000</v>
      </c>
      <c r="E15" s="131">
        <f>ROUND((80000*$E$2),-3)</f>
        <v>2904640000</v>
      </c>
      <c r="F15" s="131">
        <f t="shared" si="1"/>
        <v>3800400000</v>
      </c>
    </row>
    <row r="16" spans="1:6" x14ac:dyDescent="0.2">
      <c r="A16" s="112">
        <f t="shared" si="2"/>
        <v>9</v>
      </c>
      <c r="B16" s="112" t="s">
        <v>1001</v>
      </c>
      <c r="C16" s="112"/>
      <c r="D16" s="131">
        <v>100000</v>
      </c>
      <c r="E16" s="131">
        <f t="shared" si="0"/>
        <v>3630800000</v>
      </c>
      <c r="F16" s="131">
        <f t="shared" si="1"/>
        <v>3800400000</v>
      </c>
    </row>
    <row r="17" spans="1:6" x14ac:dyDescent="0.2">
      <c r="A17" s="112">
        <f t="shared" si="2"/>
        <v>10</v>
      </c>
      <c r="B17" s="112" t="s">
        <v>992</v>
      </c>
      <c r="C17" s="112" t="s">
        <v>993</v>
      </c>
      <c r="D17" s="131">
        <v>4500</v>
      </c>
      <c r="E17" s="131">
        <f t="shared" si="0"/>
        <v>163386000</v>
      </c>
      <c r="F17" s="131">
        <f t="shared" si="1"/>
        <v>171018000</v>
      </c>
    </row>
    <row r="18" spans="1:6" x14ac:dyDescent="0.2">
      <c r="A18" s="112">
        <f t="shared" si="2"/>
        <v>11</v>
      </c>
      <c r="B18" s="112" t="s">
        <v>1021</v>
      </c>
      <c r="C18" s="112"/>
      <c r="D18" s="131"/>
      <c r="E18" s="110" t="s">
        <v>1022</v>
      </c>
      <c r="F18" s="131"/>
    </row>
    <row r="19" spans="1:6" x14ac:dyDescent="0.2">
      <c r="A19" s="112">
        <f t="shared" si="2"/>
        <v>12</v>
      </c>
      <c r="B19" s="112" t="s">
        <v>1019</v>
      </c>
      <c r="C19" s="112"/>
      <c r="D19" s="131"/>
      <c r="E19" s="487">
        <v>0.3</v>
      </c>
      <c r="F19" s="487">
        <v>0.35</v>
      </c>
    </row>
    <row r="20" spans="1:6" x14ac:dyDescent="0.2">
      <c r="A20" s="112">
        <f t="shared" si="2"/>
        <v>13</v>
      </c>
      <c r="B20" s="112" t="s">
        <v>1020</v>
      </c>
      <c r="C20" s="112"/>
      <c r="D20" s="131"/>
      <c r="E20" s="487">
        <v>0.2</v>
      </c>
      <c r="F20" s="487">
        <v>0.25</v>
      </c>
    </row>
    <row r="21" spans="1:6" x14ac:dyDescent="0.2">
      <c r="A21" s="112">
        <f t="shared" si="2"/>
        <v>14</v>
      </c>
      <c r="B21" s="112"/>
      <c r="C21" s="112"/>
      <c r="D21" s="131"/>
      <c r="E21" s="131"/>
      <c r="F21" s="112"/>
    </row>
    <row r="22" spans="1:6" x14ac:dyDescent="0.2">
      <c r="A22" s="112">
        <f t="shared" si="2"/>
        <v>15</v>
      </c>
      <c r="B22" s="112"/>
      <c r="C22" s="112"/>
      <c r="D22" s="131"/>
      <c r="E22" s="131"/>
      <c r="F22" s="112"/>
    </row>
    <row r="23" spans="1:6" x14ac:dyDescent="0.2">
      <c r="A23" s="112"/>
      <c r="B23" s="112"/>
      <c r="C23" s="112"/>
      <c r="D23" s="131"/>
      <c r="E23" s="131"/>
      <c r="F23" s="112"/>
    </row>
    <row r="24" spans="1:6" x14ac:dyDescent="0.2">
      <c r="A24" s="112"/>
      <c r="B24" s="112"/>
      <c r="C24" s="112"/>
      <c r="D24" s="131"/>
      <c r="E24" s="131"/>
      <c r="F24" s="112"/>
    </row>
    <row r="25" spans="1:6" x14ac:dyDescent="0.2">
      <c r="A25" s="112"/>
      <c r="B25" s="112"/>
      <c r="C25" s="112"/>
      <c r="D25" s="131"/>
      <c r="E25" s="131"/>
      <c r="F25" s="112"/>
    </row>
    <row r="26" spans="1:6" x14ac:dyDescent="0.2">
      <c r="D26" s="106"/>
      <c r="E26" s="106"/>
    </row>
    <row r="27" spans="1:6" x14ac:dyDescent="0.2">
      <c r="D27" s="106"/>
      <c r="E27" s="106"/>
    </row>
    <row r="28" spans="1:6" x14ac:dyDescent="0.2">
      <c r="D28" s="106"/>
      <c r="E28" s="106"/>
    </row>
  </sheetData>
  <mergeCells count="2">
    <mergeCell ref="E3:F3"/>
    <mergeCell ref="A1:B6"/>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zoomScaleNormal="100" workbookViewId="0">
      <selection activeCell="K5" sqref="K5"/>
    </sheetView>
  </sheetViews>
  <sheetFormatPr baseColWidth="10" defaultRowHeight="15" x14ac:dyDescent="0.2"/>
  <cols>
    <col min="1" max="1" width="11.42578125" style="49"/>
    <col min="2" max="2" width="19.85546875" style="49" customWidth="1"/>
    <col min="3" max="3" width="12.7109375" style="49" bestFit="1" customWidth="1"/>
    <col min="4" max="4" width="11.42578125" style="49" bestFit="1"/>
    <col min="5" max="5" width="11.42578125" style="49" customWidth="1"/>
    <col min="6" max="6" width="12.5703125" style="49" customWidth="1"/>
    <col min="7" max="7" width="14.5703125" style="49" customWidth="1"/>
    <col min="8" max="8" width="13.42578125" style="49" customWidth="1"/>
    <col min="9" max="9" width="2" style="49" customWidth="1"/>
    <col min="10" max="10" width="1.85546875" style="104" customWidth="1"/>
    <col min="11" max="11" width="15.42578125" style="49" bestFit="1" customWidth="1"/>
    <col min="12" max="13" width="11.42578125" style="49"/>
    <col min="14" max="14" width="17.42578125" style="49" bestFit="1" customWidth="1"/>
    <col min="15" max="16384" width="11.42578125" style="49"/>
  </cols>
  <sheetData>
    <row r="2" spans="2:14" ht="15.75" x14ac:dyDescent="0.25">
      <c r="B2" s="558" t="s">
        <v>394</v>
      </c>
      <c r="C2" s="558"/>
      <c r="D2" s="558"/>
      <c r="E2" s="558"/>
      <c r="F2" s="558"/>
      <c r="G2" s="558"/>
      <c r="H2" s="558"/>
    </row>
    <row r="3" spans="2:14" ht="15.75" x14ac:dyDescent="0.25">
      <c r="B3" s="558" t="s">
        <v>1008</v>
      </c>
      <c r="C3" s="558"/>
      <c r="D3" s="558"/>
      <c r="E3" s="558"/>
      <c r="F3" s="558"/>
      <c r="G3" s="558"/>
      <c r="H3" s="558"/>
    </row>
    <row r="4" spans="2:14" ht="15.75" x14ac:dyDescent="0.25">
      <c r="B4" s="83"/>
      <c r="C4" s="83"/>
      <c r="D4" s="83"/>
      <c r="E4" s="83"/>
      <c r="F4" s="83"/>
      <c r="G4" s="83"/>
      <c r="H4" s="83"/>
    </row>
    <row r="5" spans="2:14" ht="139.5" customHeight="1" x14ac:dyDescent="0.2">
      <c r="B5" s="562" t="s">
        <v>837</v>
      </c>
      <c r="C5" s="563"/>
      <c r="D5" s="563"/>
      <c r="E5" s="563"/>
      <c r="F5" s="563"/>
      <c r="G5" s="563"/>
      <c r="H5" s="563"/>
    </row>
    <row r="6" spans="2:14" ht="9.9499999999999993" customHeight="1" x14ac:dyDescent="0.25">
      <c r="B6" s="48" t="s">
        <v>0</v>
      </c>
      <c r="C6" s="48"/>
      <c r="D6" s="48"/>
      <c r="E6" s="48"/>
      <c r="F6" s="48"/>
      <c r="G6" s="48"/>
      <c r="H6" s="48"/>
    </row>
    <row r="7" spans="2:14" ht="15.75" x14ac:dyDescent="0.25">
      <c r="B7" s="555" t="s">
        <v>707</v>
      </c>
      <c r="C7" s="555"/>
      <c r="D7" s="357">
        <v>36308</v>
      </c>
      <c r="E7" s="48"/>
      <c r="F7" s="555" t="s">
        <v>879</v>
      </c>
      <c r="G7" s="555"/>
      <c r="H7" s="357">
        <v>38004</v>
      </c>
      <c r="N7" s="49" t="s">
        <v>0</v>
      </c>
    </row>
    <row r="8" spans="2:14" x14ac:dyDescent="0.2">
      <c r="K8" s="355"/>
    </row>
    <row r="9" spans="2:14" x14ac:dyDescent="0.2">
      <c r="B9" s="559" t="s">
        <v>335</v>
      </c>
      <c r="C9" s="559"/>
      <c r="D9" s="50" t="s">
        <v>352</v>
      </c>
      <c r="E9" s="560" t="s">
        <v>336</v>
      </c>
      <c r="F9" s="560"/>
      <c r="G9" s="560"/>
      <c r="H9" s="560"/>
    </row>
    <row r="10" spans="2:14" x14ac:dyDescent="0.2">
      <c r="B10" s="51" t="s">
        <v>354</v>
      </c>
      <c r="C10" s="51" t="s">
        <v>355</v>
      </c>
      <c r="D10" s="51" t="s">
        <v>356</v>
      </c>
      <c r="E10" s="560"/>
      <c r="F10" s="560"/>
      <c r="G10" s="560"/>
      <c r="H10" s="560"/>
      <c r="K10" s="354"/>
      <c r="N10" s="468"/>
    </row>
    <row r="11" spans="2:14" x14ac:dyDescent="0.2">
      <c r="B11" s="386">
        <v>0</v>
      </c>
      <c r="C11" s="386">
        <v>95</v>
      </c>
      <c r="D11" s="387">
        <v>0</v>
      </c>
      <c r="E11" s="561">
        <v>0</v>
      </c>
      <c r="F11" s="561"/>
      <c r="G11" s="561"/>
      <c r="H11" s="561"/>
    </row>
    <row r="12" spans="2:14" x14ac:dyDescent="0.2">
      <c r="B12" s="51" t="s">
        <v>0</v>
      </c>
      <c r="C12" s="95">
        <f>ROUND((C11*H7),-3)</f>
        <v>3610000</v>
      </c>
      <c r="D12" s="84"/>
      <c r="E12" s="86"/>
      <c r="F12" s="88"/>
      <c r="G12" s="88"/>
      <c r="H12" s="87"/>
      <c r="K12" s="355"/>
    </row>
    <row r="13" spans="2:14" ht="30" customHeight="1" x14ac:dyDescent="0.2">
      <c r="B13" s="386">
        <f t="shared" ref="B13:B16" si="0">C11</f>
        <v>95</v>
      </c>
      <c r="C13" s="386">
        <v>150</v>
      </c>
      <c r="D13" s="387">
        <v>0.19</v>
      </c>
      <c r="E13" s="554" t="s">
        <v>446</v>
      </c>
      <c r="F13" s="554"/>
      <c r="G13" s="554"/>
      <c r="H13" s="554"/>
      <c r="K13" s="355"/>
    </row>
    <row r="14" spans="2:14" ht="30" customHeight="1" x14ac:dyDescent="0.2">
      <c r="B14" s="85">
        <f t="shared" si="0"/>
        <v>3610000</v>
      </c>
      <c r="C14" s="85">
        <f>ROUND((C13*H7),-3)</f>
        <v>5701000</v>
      </c>
      <c r="D14" s="84"/>
      <c r="E14" s="86"/>
      <c r="F14" s="88"/>
      <c r="G14" s="88"/>
      <c r="H14" s="87"/>
    </row>
    <row r="15" spans="2:14" ht="30" customHeight="1" x14ac:dyDescent="0.2">
      <c r="B15" s="386">
        <f t="shared" si="0"/>
        <v>150</v>
      </c>
      <c r="C15" s="386">
        <v>360</v>
      </c>
      <c r="D15" s="387">
        <v>0.28000000000000003</v>
      </c>
      <c r="E15" s="554" t="s">
        <v>447</v>
      </c>
      <c r="F15" s="554"/>
      <c r="G15" s="554"/>
      <c r="H15" s="554"/>
      <c r="K15" s="355"/>
    </row>
    <row r="16" spans="2:14" ht="30" customHeight="1" x14ac:dyDescent="0.2">
      <c r="B16" s="85">
        <f t="shared" si="0"/>
        <v>5701000</v>
      </c>
      <c r="C16" s="85">
        <f>ROUND((C15*H7),-3)</f>
        <v>13681000</v>
      </c>
      <c r="D16" s="84"/>
      <c r="E16" s="86"/>
      <c r="F16" s="88"/>
      <c r="G16" s="88"/>
      <c r="H16" s="87"/>
    </row>
    <row r="17" spans="2:11" ht="30" customHeight="1" x14ac:dyDescent="0.2">
      <c r="B17" s="386">
        <f>C15</f>
        <v>360</v>
      </c>
      <c r="C17" s="386">
        <v>640</v>
      </c>
      <c r="D17" s="387">
        <v>0.33</v>
      </c>
      <c r="E17" s="554" t="s">
        <v>448</v>
      </c>
      <c r="F17" s="554"/>
      <c r="G17" s="554"/>
      <c r="H17" s="554"/>
    </row>
    <row r="18" spans="2:11" ht="30" customHeight="1" x14ac:dyDescent="0.2">
      <c r="B18" s="85">
        <f>C16</f>
        <v>13681000</v>
      </c>
      <c r="C18" s="85">
        <f>ROUND((C17*H7),-3)</f>
        <v>24323000</v>
      </c>
      <c r="D18" s="84"/>
      <c r="E18" s="86"/>
      <c r="F18" s="88"/>
      <c r="G18" s="88"/>
      <c r="H18" s="87"/>
    </row>
    <row r="19" spans="2:11" ht="30" customHeight="1" x14ac:dyDescent="0.2">
      <c r="B19" s="81">
        <v>640</v>
      </c>
      <c r="C19" s="81">
        <v>945</v>
      </c>
      <c r="D19" s="80">
        <v>0.35</v>
      </c>
      <c r="E19" s="556" t="s">
        <v>449</v>
      </c>
      <c r="F19" s="556"/>
      <c r="G19" s="556"/>
      <c r="H19" s="556"/>
      <c r="J19" s="332"/>
    </row>
    <row r="20" spans="2:11" ht="30" customHeight="1" x14ac:dyDescent="0.2">
      <c r="B20" s="85">
        <f>C18</f>
        <v>24323000</v>
      </c>
      <c r="C20" s="85">
        <f>ROUND((C19*H7),-3)</f>
        <v>35914000</v>
      </c>
      <c r="D20" s="84"/>
      <c r="E20" s="86"/>
      <c r="F20" s="88"/>
      <c r="G20" s="88"/>
      <c r="H20" s="87"/>
    </row>
    <row r="21" spans="2:11" ht="30" customHeight="1" x14ac:dyDescent="0.2">
      <c r="B21" s="81">
        <v>945</v>
      </c>
      <c r="C21" s="89">
        <v>2300</v>
      </c>
      <c r="D21" s="80">
        <v>0.37</v>
      </c>
      <c r="E21" s="557" t="s">
        <v>450</v>
      </c>
      <c r="F21" s="557"/>
      <c r="G21" s="557"/>
      <c r="H21" s="557"/>
    </row>
    <row r="22" spans="2:11" ht="30" customHeight="1" x14ac:dyDescent="0.2">
      <c r="B22" s="85">
        <f>C20</f>
        <v>35914000</v>
      </c>
      <c r="C22" s="85">
        <f>ROUND((C21*H7),-3)</f>
        <v>87409000</v>
      </c>
      <c r="D22" s="85" t="s">
        <v>0</v>
      </c>
      <c r="E22" s="86"/>
      <c r="F22" s="88"/>
      <c r="G22" s="88"/>
      <c r="H22" s="87"/>
    </row>
    <row r="23" spans="2:11" ht="30" customHeight="1" x14ac:dyDescent="0.2">
      <c r="B23" s="89">
        <v>2300</v>
      </c>
      <c r="C23" s="89" t="s">
        <v>358</v>
      </c>
      <c r="D23" s="80">
        <v>0.39</v>
      </c>
      <c r="E23" s="557" t="s">
        <v>451</v>
      </c>
      <c r="F23" s="557"/>
      <c r="G23" s="557"/>
      <c r="H23" s="557"/>
      <c r="J23" s="332"/>
    </row>
    <row r="24" spans="2:11" ht="24.95" customHeight="1" x14ac:dyDescent="0.2">
      <c r="B24" s="104">
        <f>C22</f>
        <v>87409000</v>
      </c>
    </row>
    <row r="25" spans="2:11" ht="15" customHeight="1" x14ac:dyDescent="0.2"/>
    <row r="26" spans="2:11" ht="78" customHeight="1" x14ac:dyDescent="0.25">
      <c r="B26" s="568" t="s">
        <v>847</v>
      </c>
      <c r="C26" s="568"/>
      <c r="D26" s="568"/>
      <c r="E26" s="568"/>
      <c r="F26" s="568"/>
      <c r="G26" s="568"/>
      <c r="H26" s="568"/>
    </row>
    <row r="27" spans="2:11" ht="9.9499999999999993" customHeight="1" x14ac:dyDescent="0.25">
      <c r="B27" s="97"/>
      <c r="C27" s="97"/>
      <c r="D27" s="97"/>
      <c r="E27" s="97"/>
      <c r="F27" s="97"/>
      <c r="G27" s="97"/>
      <c r="H27" s="97"/>
    </row>
    <row r="28" spans="2:11" ht="9.9499999999999993" customHeight="1" x14ac:dyDescent="0.2"/>
    <row r="29" spans="2:11" ht="131.25" customHeight="1" x14ac:dyDescent="0.2">
      <c r="B29" s="570" t="s">
        <v>854</v>
      </c>
      <c r="C29" s="570"/>
      <c r="D29" s="570"/>
      <c r="E29" s="570"/>
      <c r="F29" s="570"/>
      <c r="G29" s="570"/>
      <c r="H29" s="570"/>
      <c r="K29" s="356"/>
    </row>
    <row r="30" spans="2:11" ht="15.75" customHeight="1" x14ac:dyDescent="0.2">
      <c r="B30" s="105"/>
      <c r="C30" s="105"/>
      <c r="D30" s="105"/>
      <c r="E30" s="105"/>
      <c r="F30" s="105"/>
      <c r="G30" s="105"/>
      <c r="H30" s="105"/>
    </row>
    <row r="31" spans="2:11" ht="77.25" customHeight="1" x14ac:dyDescent="0.2">
      <c r="B31" s="571" t="s">
        <v>452</v>
      </c>
      <c r="C31" s="571"/>
      <c r="D31" s="571"/>
      <c r="E31" s="571"/>
      <c r="F31" s="571"/>
      <c r="G31" s="571"/>
      <c r="H31" s="571"/>
    </row>
    <row r="32" spans="2:11" ht="76.5" customHeight="1" x14ac:dyDescent="0.25">
      <c r="B32" s="568" t="s">
        <v>395</v>
      </c>
      <c r="C32" s="568"/>
      <c r="D32" s="568"/>
      <c r="E32" s="568"/>
      <c r="F32" s="568"/>
      <c r="G32" s="568"/>
      <c r="H32" s="568"/>
    </row>
    <row r="33" spans="2:11" ht="15" customHeight="1" x14ac:dyDescent="0.25">
      <c r="B33" s="90"/>
      <c r="C33" s="90"/>
      <c r="D33" s="90"/>
      <c r="E33" s="90"/>
      <c r="F33" s="90"/>
      <c r="G33" s="90"/>
      <c r="H33" s="90"/>
    </row>
    <row r="34" spans="2:11" ht="15" customHeight="1" x14ac:dyDescent="0.2">
      <c r="B34" s="569" t="s">
        <v>409</v>
      </c>
      <c r="C34" s="569"/>
      <c r="D34" s="569"/>
      <c r="E34" s="569"/>
      <c r="F34" s="569"/>
      <c r="G34" s="569"/>
      <c r="H34" s="569"/>
    </row>
    <row r="35" spans="2:11" ht="46.5" customHeight="1" x14ac:dyDescent="0.2">
      <c r="B35" s="566" t="s">
        <v>410</v>
      </c>
      <c r="C35" s="566"/>
      <c r="D35" s="566"/>
      <c r="E35" s="566"/>
      <c r="F35" s="566"/>
      <c r="G35" s="566"/>
      <c r="H35" s="566"/>
      <c r="K35" s="354"/>
    </row>
    <row r="36" spans="2:11" ht="30" customHeight="1" x14ac:dyDescent="0.25">
      <c r="B36" s="565" t="s">
        <v>411</v>
      </c>
      <c r="C36" s="565"/>
      <c r="D36" s="565"/>
      <c r="E36" s="565"/>
      <c r="F36" s="565"/>
      <c r="G36" s="565"/>
      <c r="H36" s="565"/>
      <c r="K36" s="355"/>
    </row>
    <row r="37" spans="2:11" ht="43.5" customHeight="1" x14ac:dyDescent="0.25">
      <c r="B37" s="565" t="s">
        <v>412</v>
      </c>
      <c r="C37" s="565"/>
      <c r="D37" s="565"/>
      <c r="E37" s="565"/>
      <c r="F37" s="565"/>
      <c r="G37" s="565"/>
      <c r="H37" s="565"/>
      <c r="K37" s="355"/>
    </row>
    <row r="38" spans="2:11" ht="45.75" customHeight="1" x14ac:dyDescent="0.2">
      <c r="B38" s="566" t="s">
        <v>840</v>
      </c>
      <c r="C38" s="566"/>
      <c r="D38" s="566"/>
      <c r="E38" s="566"/>
      <c r="F38" s="566"/>
      <c r="G38" s="566"/>
      <c r="H38" s="566"/>
      <c r="K38" s="354"/>
    </row>
    <row r="39" spans="2:11" x14ac:dyDescent="0.2">
      <c r="K39" s="354"/>
    </row>
    <row r="40" spans="2:11" x14ac:dyDescent="0.2">
      <c r="B40" s="567" t="s">
        <v>413</v>
      </c>
      <c r="C40" s="567"/>
      <c r="D40" s="567"/>
      <c r="E40" s="567"/>
      <c r="F40" s="567"/>
      <c r="G40" s="567"/>
      <c r="H40" s="567"/>
    </row>
    <row r="41" spans="2:11" ht="177" customHeight="1" x14ac:dyDescent="0.2">
      <c r="B41" s="564" t="s">
        <v>414</v>
      </c>
      <c r="C41" s="564"/>
      <c r="D41" s="564"/>
      <c r="E41" s="564"/>
      <c r="F41" s="564"/>
      <c r="G41" s="564"/>
      <c r="H41" s="564"/>
    </row>
  </sheetData>
  <sheetProtection formatCells="0" formatColumns="0" formatRows="0" insertColumns="0" insertRows="0" insertHyperlinks="0" deleteColumns="0" deleteRows="0" sort="0" autoFilter="0" pivotTables="0"/>
  <customSheetViews>
    <customSheetView guid="{984CD521-F61A-4081-9FBE-1EFFB5F20A35}">
      <selection activeCell="J5" sqref="J5:J6"/>
      <pageMargins left="0.59055118110236227" right="0.59055118110236227" top="0.78740157480314965" bottom="0.39370078740157483" header="0.31496062992125984" footer="0.31496062992125984"/>
      <pageSetup orientation="portrait" verticalDpi="0" r:id="rId1"/>
    </customSheetView>
  </customSheetViews>
  <mergeCells count="25">
    <mergeCell ref="B41:H41"/>
    <mergeCell ref="B36:H36"/>
    <mergeCell ref="B38:H38"/>
    <mergeCell ref="B40:H40"/>
    <mergeCell ref="E15:H15"/>
    <mergeCell ref="E17:H17"/>
    <mergeCell ref="B37:H37"/>
    <mergeCell ref="B26:H26"/>
    <mergeCell ref="B32:H32"/>
    <mergeCell ref="B35:H35"/>
    <mergeCell ref="E23:H23"/>
    <mergeCell ref="B34:H34"/>
    <mergeCell ref="B29:H29"/>
    <mergeCell ref="B31:H31"/>
    <mergeCell ref="E13:H13"/>
    <mergeCell ref="F7:G7"/>
    <mergeCell ref="E19:H19"/>
    <mergeCell ref="E21:H21"/>
    <mergeCell ref="B2:H2"/>
    <mergeCell ref="B7:C7"/>
    <mergeCell ref="B9:C9"/>
    <mergeCell ref="E9:H10"/>
    <mergeCell ref="E11:H11"/>
    <mergeCell ref="B5:H5"/>
    <mergeCell ref="B3:H3"/>
  </mergeCells>
  <phoneticPr fontId="15" type="noConversion"/>
  <pageMargins left="0.59055118110236227" right="0.59055118110236227" top="0.78740157480314965" bottom="0.39370078740157483" header="0.31496062992125984" footer="0.31496062992125984"/>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opLeftCell="A13" workbookViewId="0">
      <selection activeCell="K21" sqref="K21"/>
    </sheetView>
  </sheetViews>
  <sheetFormatPr baseColWidth="10" defaultRowHeight="15" x14ac:dyDescent="0.2"/>
  <cols>
    <col min="1" max="1" width="11.42578125" style="45"/>
    <col min="2" max="2" width="14" style="45" customWidth="1"/>
    <col min="3" max="5" width="11.42578125" style="45"/>
    <col min="6" max="6" width="14.42578125" style="45" customWidth="1"/>
    <col min="7" max="7" width="11.42578125" style="45"/>
    <col min="8" max="8" width="13.42578125" style="45" customWidth="1"/>
    <col min="9" max="10" width="11.42578125" style="45"/>
    <col min="11" max="11" width="16" style="45" bestFit="1" customWidth="1"/>
    <col min="12" max="12" width="11.42578125" style="210"/>
    <col min="13" max="14" width="14.5703125" style="210" bestFit="1" customWidth="1"/>
    <col min="15" max="15" width="11.42578125" style="210"/>
    <col min="16" max="16384" width="11.42578125" style="45"/>
  </cols>
  <sheetData>
    <row r="1" spans="2:13" x14ac:dyDescent="0.2">
      <c r="J1" s="472" t="s">
        <v>1013</v>
      </c>
      <c r="K1" s="472" t="s">
        <v>1014</v>
      </c>
    </row>
    <row r="2" spans="2:13" ht="15.75" x14ac:dyDescent="0.25">
      <c r="J2" s="178">
        <v>36308</v>
      </c>
      <c r="K2" s="178">
        <v>38004</v>
      </c>
    </row>
    <row r="4" spans="2:13" ht="15.75" x14ac:dyDescent="0.25">
      <c r="B4" s="546" t="s">
        <v>988</v>
      </c>
      <c r="C4" s="546"/>
      <c r="D4" s="546"/>
      <c r="E4" s="546"/>
      <c r="F4" s="546"/>
      <c r="G4" s="546"/>
      <c r="H4" s="280"/>
      <c r="I4" s="280"/>
      <c r="J4" s="339"/>
      <c r="K4" s="694">
        <v>5200000</v>
      </c>
    </row>
    <row r="5" spans="2:13" ht="15.75" x14ac:dyDescent="0.25">
      <c r="B5" s="575" t="s">
        <v>1009</v>
      </c>
      <c r="C5" s="575"/>
      <c r="D5" s="575"/>
      <c r="E5" s="575"/>
      <c r="F5" s="575"/>
      <c r="G5" s="575"/>
      <c r="J5" s="106"/>
      <c r="K5" s="479"/>
    </row>
    <row r="6" spans="2:13" x14ac:dyDescent="0.2">
      <c r="B6" s="574" t="s">
        <v>1012</v>
      </c>
      <c r="C6" s="574"/>
      <c r="D6" s="574"/>
      <c r="E6" s="574"/>
      <c r="F6" s="574"/>
      <c r="G6" s="574"/>
      <c r="H6" s="574"/>
      <c r="J6" s="106">
        <f>K4*5/100</f>
        <v>260000</v>
      </c>
      <c r="K6" s="479">
        <f>SUM(J6:J7)</f>
        <v>468000</v>
      </c>
    </row>
    <row r="7" spans="2:13" x14ac:dyDescent="0.2">
      <c r="B7" s="574" t="s">
        <v>1011</v>
      </c>
      <c r="C7" s="574"/>
      <c r="D7" s="574"/>
      <c r="E7" s="574"/>
      <c r="F7" s="574"/>
      <c r="G7" s="574"/>
      <c r="J7" s="106">
        <f>K4*4/100</f>
        <v>208000</v>
      </c>
      <c r="K7" s="479"/>
    </row>
    <row r="8" spans="2:13" ht="15.75" x14ac:dyDescent="0.25">
      <c r="B8" s="573" t="s">
        <v>1010</v>
      </c>
      <c r="C8" s="573"/>
      <c r="D8" s="573"/>
      <c r="E8" s="573"/>
      <c r="F8" s="573"/>
      <c r="G8" s="573"/>
      <c r="H8" s="280"/>
      <c r="I8" s="280"/>
      <c r="J8" s="339"/>
      <c r="K8" s="480">
        <f>K4-K6</f>
        <v>4732000</v>
      </c>
      <c r="M8" s="698">
        <f>K8*40/100</f>
        <v>1892800</v>
      </c>
    </row>
    <row r="9" spans="2:13" x14ac:dyDescent="0.2">
      <c r="B9" s="470"/>
      <c r="C9" s="470"/>
      <c r="D9" s="470"/>
      <c r="E9" s="470"/>
      <c r="J9" s="106"/>
    </row>
    <row r="10" spans="2:13" ht="15" customHeight="1" x14ac:dyDescent="0.25">
      <c r="B10" s="576" t="s">
        <v>409</v>
      </c>
      <c r="C10" s="576"/>
      <c r="D10" s="576"/>
      <c r="E10" s="576"/>
      <c r="F10" s="576"/>
      <c r="G10" s="576"/>
      <c r="H10" s="481"/>
      <c r="I10" s="481"/>
      <c r="J10" s="482"/>
      <c r="K10" s="483">
        <f>SUM(J11:J16)</f>
        <v>2683000</v>
      </c>
    </row>
    <row r="11" spans="2:13" ht="15" customHeight="1" x14ac:dyDescent="0.2">
      <c r="B11" s="574" t="s">
        <v>980</v>
      </c>
      <c r="C11" s="574"/>
      <c r="D11" s="574"/>
      <c r="E11" s="574"/>
      <c r="F11" s="574"/>
      <c r="G11" s="427"/>
      <c r="J11" s="106">
        <v>2000000</v>
      </c>
    </row>
    <row r="12" spans="2:13" ht="15" customHeight="1" x14ac:dyDescent="0.2">
      <c r="B12" s="574" t="s">
        <v>981</v>
      </c>
      <c r="C12" s="574"/>
      <c r="D12" s="574"/>
      <c r="E12" s="574"/>
      <c r="F12" s="574"/>
      <c r="G12" s="427"/>
      <c r="J12" s="106"/>
    </row>
    <row r="13" spans="2:13" ht="15" customHeight="1" x14ac:dyDescent="0.2">
      <c r="B13" s="574" t="s">
        <v>982</v>
      </c>
      <c r="C13" s="574"/>
      <c r="D13" s="574"/>
      <c r="E13" s="574"/>
      <c r="F13" s="574"/>
      <c r="G13" s="427"/>
      <c r="J13" s="106">
        <v>0</v>
      </c>
    </row>
    <row r="14" spans="2:13" ht="15" customHeight="1" x14ac:dyDescent="0.2">
      <c r="B14" s="574" t="s">
        <v>985</v>
      </c>
      <c r="C14" s="574"/>
      <c r="D14" s="574"/>
      <c r="E14" s="574"/>
      <c r="F14" s="574"/>
      <c r="G14" s="427"/>
      <c r="J14" s="106">
        <v>0</v>
      </c>
    </row>
    <row r="15" spans="2:13" ht="15" customHeight="1" x14ac:dyDescent="0.2">
      <c r="B15" s="574" t="s">
        <v>986</v>
      </c>
      <c r="C15" s="574"/>
      <c r="D15" s="574"/>
      <c r="E15" s="574"/>
      <c r="F15" s="574"/>
      <c r="G15" s="574"/>
      <c r="H15" s="574"/>
      <c r="J15" s="106"/>
    </row>
    <row r="16" spans="2:13" ht="15" customHeight="1" x14ac:dyDescent="0.2">
      <c r="B16" s="574" t="s">
        <v>987</v>
      </c>
      <c r="C16" s="574"/>
      <c r="D16" s="574"/>
      <c r="E16" s="574"/>
      <c r="F16" s="574"/>
      <c r="G16" s="574"/>
      <c r="H16" s="574"/>
      <c r="J16" s="106">
        <f>(K8-(J11+J13+J14))*25/100</f>
        <v>683000</v>
      </c>
    </row>
    <row r="17" spans="2:13" ht="15" customHeight="1" x14ac:dyDescent="0.25">
      <c r="B17" s="576" t="s">
        <v>1015</v>
      </c>
      <c r="C17" s="576"/>
      <c r="D17" s="576"/>
      <c r="E17" s="576"/>
      <c r="F17" s="576"/>
      <c r="G17" s="576"/>
      <c r="H17" s="484"/>
      <c r="I17" s="481"/>
      <c r="J17" s="481"/>
      <c r="K17" s="483">
        <f>M8</f>
        <v>1892800</v>
      </c>
    </row>
    <row r="18" spans="2:13" ht="15" customHeight="1" x14ac:dyDescent="0.2">
      <c r="B18" s="427"/>
      <c r="C18" s="427"/>
      <c r="D18" s="427"/>
      <c r="E18" s="427"/>
      <c r="F18" s="427"/>
      <c r="G18" s="427"/>
    </row>
    <row r="19" spans="2:13" ht="15" customHeight="1" x14ac:dyDescent="0.25">
      <c r="B19" s="577" t="s">
        <v>1016</v>
      </c>
      <c r="C19" s="577"/>
      <c r="D19" s="577"/>
      <c r="E19" s="577"/>
      <c r="F19" s="577"/>
      <c r="G19" s="577"/>
      <c r="H19" s="485"/>
      <c r="I19" s="485"/>
      <c r="J19" s="485"/>
      <c r="K19" s="486">
        <f>K8-K17</f>
        <v>2839200</v>
      </c>
    </row>
    <row r="20" spans="2:13" ht="15" customHeight="1" x14ac:dyDescent="0.2">
      <c r="B20" s="471"/>
      <c r="C20" s="471"/>
      <c r="D20" s="471"/>
      <c r="E20" s="471"/>
      <c r="F20" s="471"/>
      <c r="G20" s="471"/>
    </row>
    <row r="21" spans="2:13" ht="15" customHeight="1" x14ac:dyDescent="0.2">
      <c r="B21" s="577" t="s">
        <v>1017</v>
      </c>
      <c r="C21" s="577"/>
      <c r="D21" s="577"/>
      <c r="E21" s="577"/>
      <c r="F21" s="577"/>
      <c r="G21" s="577"/>
      <c r="H21" s="485"/>
      <c r="I21" s="485"/>
      <c r="J21" s="485"/>
      <c r="K21" s="485">
        <f>K19/K2</f>
        <v>74.707925481528264</v>
      </c>
      <c r="L21" s="572" t="s">
        <v>1018</v>
      </c>
      <c r="M21" s="572"/>
    </row>
    <row r="22" spans="2:13" ht="15" customHeight="1" x14ac:dyDescent="0.2">
      <c r="B22" s="471"/>
      <c r="C22" s="471"/>
      <c r="D22" s="471"/>
      <c r="E22" s="471"/>
      <c r="F22" s="471"/>
      <c r="G22" s="471"/>
    </row>
    <row r="23" spans="2:13" ht="15" customHeight="1" x14ac:dyDescent="0.2">
      <c r="B23" s="578" t="s">
        <v>887</v>
      </c>
      <c r="C23" s="578"/>
      <c r="D23" s="578"/>
      <c r="E23" s="578"/>
      <c r="F23" s="578"/>
      <c r="G23" s="578"/>
      <c r="H23" s="578"/>
      <c r="I23" s="578"/>
    </row>
    <row r="24" spans="2:13" ht="45" customHeight="1" x14ac:dyDescent="0.2">
      <c r="B24" s="579" t="s">
        <v>979</v>
      </c>
      <c r="C24" s="579"/>
      <c r="D24" s="579"/>
      <c r="E24" s="579"/>
      <c r="F24" s="579"/>
      <c r="G24" s="579"/>
      <c r="H24" s="579"/>
      <c r="I24" s="579"/>
    </row>
    <row r="26" spans="2:13" ht="15" customHeight="1" x14ac:dyDescent="0.2">
      <c r="B26" s="532" t="s">
        <v>888</v>
      </c>
      <c r="C26" s="532"/>
      <c r="D26" s="532"/>
      <c r="E26" s="532"/>
      <c r="F26" s="532"/>
      <c r="G26" s="532"/>
      <c r="H26" s="532"/>
      <c r="I26" s="532"/>
      <c r="J26" s="532"/>
    </row>
    <row r="28" spans="2:13" ht="90" customHeight="1" x14ac:dyDescent="0.2">
      <c r="B28" s="532" t="s">
        <v>978</v>
      </c>
      <c r="C28" s="532"/>
      <c r="D28" s="532"/>
      <c r="E28" s="532"/>
      <c r="F28" s="532"/>
      <c r="G28" s="532"/>
      <c r="H28" s="532"/>
      <c r="I28" s="532"/>
      <c r="J28" s="532"/>
    </row>
  </sheetData>
  <mergeCells count="20">
    <mergeCell ref="B26:J26"/>
    <mergeCell ref="B28:J28"/>
    <mergeCell ref="B13:F13"/>
    <mergeCell ref="B14:F14"/>
    <mergeCell ref="B15:H15"/>
    <mergeCell ref="B16:H16"/>
    <mergeCell ref="B23:I23"/>
    <mergeCell ref="B24:I24"/>
    <mergeCell ref="B21:G21"/>
    <mergeCell ref="L21:M21"/>
    <mergeCell ref="B8:G8"/>
    <mergeCell ref="B7:G7"/>
    <mergeCell ref="B6:H6"/>
    <mergeCell ref="B4:G4"/>
    <mergeCell ref="B5:G5"/>
    <mergeCell ref="B10:G10"/>
    <mergeCell ref="B11:F11"/>
    <mergeCell ref="B12:F12"/>
    <mergeCell ref="B17:G17"/>
    <mergeCell ref="B19:G19"/>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workbookViewId="0">
      <pane xSplit="1" ySplit="1" topLeftCell="B86" activePane="bottomRight" state="frozen"/>
      <selection pane="topRight" activeCell="B1" sqref="B1"/>
      <selection pane="bottomLeft" activeCell="A3" sqref="A3"/>
      <selection pane="bottomRight" activeCell="C89" sqref="C89"/>
    </sheetView>
  </sheetViews>
  <sheetFormatPr baseColWidth="10" defaultRowHeight="15" x14ac:dyDescent="0.2"/>
  <cols>
    <col min="1" max="1" width="3.85546875" style="429" bestFit="1" customWidth="1"/>
    <col min="2" max="2" width="11.5703125" style="516" customWidth="1"/>
    <col min="3" max="3" width="110.28515625" style="45" customWidth="1"/>
    <col min="4" max="4" width="11.7109375" style="429" bestFit="1" customWidth="1"/>
    <col min="5" max="16384" width="11.42578125" style="45"/>
  </cols>
  <sheetData>
    <row r="1" spans="1:4" ht="15.75" x14ac:dyDescent="0.2">
      <c r="C1" s="454" t="s">
        <v>929</v>
      </c>
    </row>
    <row r="2" spans="1:4" x14ac:dyDescent="0.2">
      <c r="A2" s="77">
        <v>1</v>
      </c>
      <c r="B2" s="77"/>
      <c r="C2" s="112" t="s">
        <v>889</v>
      </c>
      <c r="D2" s="77">
        <v>8001</v>
      </c>
    </row>
    <row r="3" spans="1:4" x14ac:dyDescent="0.2">
      <c r="A3" s="77">
        <f>A2+1</f>
        <v>2</v>
      </c>
      <c r="B3" s="77"/>
      <c r="C3" s="112" t="s">
        <v>890</v>
      </c>
      <c r="D3" s="77">
        <v>8002</v>
      </c>
    </row>
    <row r="4" spans="1:4" x14ac:dyDescent="0.2">
      <c r="A4" s="77">
        <f t="shared" ref="A4:A10" si="0">A3+1</f>
        <v>3</v>
      </c>
      <c r="B4" s="77"/>
      <c r="C4" s="112" t="s">
        <v>891</v>
      </c>
      <c r="D4" s="77">
        <v>8005</v>
      </c>
    </row>
    <row r="5" spans="1:4" x14ac:dyDescent="0.2">
      <c r="A5" s="77">
        <f t="shared" si="0"/>
        <v>4</v>
      </c>
      <c r="B5" s="77"/>
      <c r="C5" s="112" t="s">
        <v>892</v>
      </c>
      <c r="D5" s="77">
        <f>D4+1</f>
        <v>8006</v>
      </c>
    </row>
    <row r="6" spans="1:4" x14ac:dyDescent="0.2">
      <c r="A6" s="77">
        <f t="shared" si="0"/>
        <v>5</v>
      </c>
      <c r="B6" s="77"/>
      <c r="C6" s="112" t="s">
        <v>893</v>
      </c>
      <c r="D6" s="77">
        <f t="shared" ref="D6:D10" si="1">D5+1</f>
        <v>8007</v>
      </c>
    </row>
    <row r="7" spans="1:4" x14ac:dyDescent="0.2">
      <c r="A7" s="77">
        <f t="shared" si="0"/>
        <v>6</v>
      </c>
      <c r="B7" s="77"/>
      <c r="C7" s="112" t="s">
        <v>894</v>
      </c>
      <c r="D7" s="77">
        <f t="shared" si="1"/>
        <v>8008</v>
      </c>
    </row>
    <row r="8" spans="1:4" ht="30" x14ac:dyDescent="0.2">
      <c r="A8" s="77">
        <f t="shared" si="0"/>
        <v>7</v>
      </c>
      <c r="B8" s="77"/>
      <c r="C8" s="455" t="s">
        <v>895</v>
      </c>
      <c r="D8" s="77">
        <f t="shared" si="1"/>
        <v>8009</v>
      </c>
    </row>
    <row r="9" spans="1:4" ht="30" x14ac:dyDescent="0.2">
      <c r="A9" s="77">
        <f t="shared" si="0"/>
        <v>8</v>
      </c>
      <c r="B9" s="77"/>
      <c r="C9" s="455" t="s">
        <v>896</v>
      </c>
      <c r="D9" s="77">
        <f t="shared" si="1"/>
        <v>8010</v>
      </c>
    </row>
    <row r="10" spans="1:4" ht="30" x14ac:dyDescent="0.2">
      <c r="A10" s="77">
        <f t="shared" si="0"/>
        <v>9</v>
      </c>
      <c r="B10" s="77"/>
      <c r="C10" s="455" t="s">
        <v>897</v>
      </c>
      <c r="D10" s="77">
        <f t="shared" si="1"/>
        <v>8011</v>
      </c>
    </row>
    <row r="11" spans="1:4" ht="30" x14ac:dyDescent="0.2">
      <c r="A11" s="77">
        <f>A10+1</f>
        <v>10</v>
      </c>
      <c r="B11" s="77"/>
      <c r="C11" s="455" t="s">
        <v>898</v>
      </c>
      <c r="D11" s="77">
        <v>8013</v>
      </c>
    </row>
    <row r="12" spans="1:4" x14ac:dyDescent="0.2">
      <c r="A12" s="77">
        <f>A11+1</f>
        <v>11</v>
      </c>
      <c r="B12" s="77"/>
      <c r="C12" s="112" t="s">
        <v>899</v>
      </c>
      <c r="D12" s="77">
        <f>D11+1</f>
        <v>8014</v>
      </c>
    </row>
    <row r="13" spans="1:4" x14ac:dyDescent="0.2">
      <c r="A13" s="77">
        <f t="shared" ref="A13:A15" si="2">A12+1</f>
        <v>12</v>
      </c>
      <c r="B13" s="77"/>
      <c r="C13" s="112" t="s">
        <v>900</v>
      </c>
      <c r="D13" s="77">
        <f t="shared" ref="D13:D15" si="3">D12+1</f>
        <v>8015</v>
      </c>
    </row>
    <row r="14" spans="1:4" x14ac:dyDescent="0.2">
      <c r="A14" s="77">
        <f t="shared" si="2"/>
        <v>13</v>
      </c>
      <c r="B14" s="77"/>
      <c r="C14" s="112" t="s">
        <v>901</v>
      </c>
      <c r="D14" s="77">
        <f t="shared" si="3"/>
        <v>8016</v>
      </c>
    </row>
    <row r="15" spans="1:4" ht="30" x14ac:dyDescent="0.2">
      <c r="A15" s="77">
        <f t="shared" si="2"/>
        <v>14</v>
      </c>
      <c r="B15" s="77"/>
      <c r="C15" s="455" t="s">
        <v>902</v>
      </c>
      <c r="D15" s="77">
        <f t="shared" si="3"/>
        <v>8017</v>
      </c>
    </row>
    <row r="16" spans="1:4" ht="30" x14ac:dyDescent="0.2">
      <c r="A16" s="456">
        <f>A15+1</f>
        <v>15</v>
      </c>
      <c r="B16" s="514"/>
      <c r="C16" s="312" t="s">
        <v>903</v>
      </c>
      <c r="D16" s="456">
        <f>D15+2</f>
        <v>8019</v>
      </c>
    </row>
    <row r="17" spans="1:4" ht="30" x14ac:dyDescent="0.2">
      <c r="A17" s="77">
        <f>A16+1</f>
        <v>16</v>
      </c>
      <c r="B17" s="77"/>
      <c r="C17" s="455" t="s">
        <v>904</v>
      </c>
      <c r="D17" s="77">
        <v>8023</v>
      </c>
    </row>
    <row r="18" spans="1:4" x14ac:dyDescent="0.2">
      <c r="A18" s="77">
        <f t="shared" ref="A18:A41" si="4">A17+1</f>
        <v>17</v>
      </c>
      <c r="B18" s="77"/>
      <c r="C18" s="112" t="s">
        <v>905</v>
      </c>
      <c r="D18" s="77">
        <v>8025</v>
      </c>
    </row>
    <row r="19" spans="1:4" ht="30" x14ac:dyDescent="0.2">
      <c r="A19" s="77">
        <f t="shared" si="4"/>
        <v>18</v>
      </c>
      <c r="B19" s="77"/>
      <c r="C19" s="455" t="s">
        <v>906</v>
      </c>
      <c r="D19" s="77">
        <v>8026</v>
      </c>
    </row>
    <row r="20" spans="1:4" x14ac:dyDescent="0.2">
      <c r="A20" s="77">
        <f t="shared" si="4"/>
        <v>19</v>
      </c>
      <c r="B20" s="77"/>
      <c r="C20" s="112" t="s">
        <v>907</v>
      </c>
      <c r="D20" s="77">
        <v>8028</v>
      </c>
    </row>
    <row r="21" spans="1:4" ht="30" x14ac:dyDescent="0.2">
      <c r="A21" s="77">
        <f t="shared" si="4"/>
        <v>20</v>
      </c>
      <c r="B21" s="77"/>
      <c r="C21" s="455" t="s">
        <v>908</v>
      </c>
      <c r="D21" s="77">
        <f>D20+1</f>
        <v>8029</v>
      </c>
    </row>
    <row r="22" spans="1:4" x14ac:dyDescent="0.2">
      <c r="A22" s="77">
        <f t="shared" si="4"/>
        <v>21</v>
      </c>
      <c r="B22" s="77"/>
      <c r="C22" s="112" t="s">
        <v>909</v>
      </c>
      <c r="D22" s="77">
        <f>D21+1</f>
        <v>8030</v>
      </c>
    </row>
    <row r="23" spans="1:4" x14ac:dyDescent="0.2">
      <c r="A23" s="77">
        <f t="shared" si="4"/>
        <v>22</v>
      </c>
      <c r="B23" s="77"/>
      <c r="C23" s="112" t="s">
        <v>910</v>
      </c>
      <c r="D23" s="77">
        <v>8032</v>
      </c>
    </row>
    <row r="24" spans="1:4" ht="30" x14ac:dyDescent="0.2">
      <c r="A24" s="77">
        <f t="shared" si="4"/>
        <v>23</v>
      </c>
      <c r="B24" s="77"/>
      <c r="C24" s="455" t="s">
        <v>911</v>
      </c>
      <c r="D24" s="77">
        <f t="shared" ref="D24:D41" si="5">D23+1</f>
        <v>8033</v>
      </c>
    </row>
    <row r="25" spans="1:4" x14ac:dyDescent="0.2">
      <c r="A25" s="77">
        <f t="shared" si="4"/>
        <v>24</v>
      </c>
      <c r="B25" s="77"/>
      <c r="C25" s="112" t="s">
        <v>912</v>
      </c>
      <c r="D25" s="77">
        <f t="shared" si="5"/>
        <v>8034</v>
      </c>
    </row>
    <row r="26" spans="1:4" x14ac:dyDescent="0.2">
      <c r="A26" s="77">
        <f t="shared" si="4"/>
        <v>25</v>
      </c>
      <c r="B26" s="77"/>
      <c r="C26" s="112" t="s">
        <v>913</v>
      </c>
      <c r="D26" s="77">
        <f t="shared" si="5"/>
        <v>8035</v>
      </c>
    </row>
    <row r="27" spans="1:4" ht="30" x14ac:dyDescent="0.2">
      <c r="A27" s="77">
        <f t="shared" si="4"/>
        <v>26</v>
      </c>
      <c r="B27" s="77"/>
      <c r="C27" s="455" t="s">
        <v>914</v>
      </c>
      <c r="D27" s="77">
        <f t="shared" si="5"/>
        <v>8036</v>
      </c>
    </row>
    <row r="28" spans="1:4" ht="30" x14ac:dyDescent="0.2">
      <c r="A28" s="77">
        <f t="shared" si="4"/>
        <v>27</v>
      </c>
      <c r="B28" s="77"/>
      <c r="C28" s="455" t="s">
        <v>915</v>
      </c>
      <c r="D28" s="77">
        <f t="shared" si="5"/>
        <v>8037</v>
      </c>
    </row>
    <row r="29" spans="1:4" ht="30" x14ac:dyDescent="0.2">
      <c r="A29" s="77">
        <f t="shared" si="4"/>
        <v>28</v>
      </c>
      <c r="B29" s="77"/>
      <c r="C29" s="455" t="s">
        <v>916</v>
      </c>
      <c r="D29" s="77">
        <f t="shared" si="5"/>
        <v>8038</v>
      </c>
    </row>
    <row r="30" spans="1:4" ht="30" x14ac:dyDescent="0.2">
      <c r="A30" s="77">
        <f t="shared" si="4"/>
        <v>29</v>
      </c>
      <c r="B30" s="77"/>
      <c r="C30" s="455" t="s">
        <v>917</v>
      </c>
      <c r="D30" s="77">
        <f t="shared" si="5"/>
        <v>8039</v>
      </c>
    </row>
    <row r="31" spans="1:4" ht="30" x14ac:dyDescent="0.2">
      <c r="A31" s="77">
        <f t="shared" si="4"/>
        <v>30</v>
      </c>
      <c r="B31" s="77"/>
      <c r="C31" s="455" t="s">
        <v>918</v>
      </c>
      <c r="D31" s="77">
        <f t="shared" si="5"/>
        <v>8040</v>
      </c>
    </row>
    <row r="32" spans="1:4" x14ac:dyDescent="0.2">
      <c r="A32" s="77">
        <f t="shared" si="4"/>
        <v>31</v>
      </c>
      <c r="B32" s="77"/>
      <c r="C32" s="112" t="s">
        <v>919</v>
      </c>
      <c r="D32" s="77">
        <f t="shared" si="5"/>
        <v>8041</v>
      </c>
    </row>
    <row r="33" spans="1:4" x14ac:dyDescent="0.2">
      <c r="A33" s="77">
        <f t="shared" si="4"/>
        <v>32</v>
      </c>
      <c r="B33" s="77"/>
      <c r="C33" s="112" t="s">
        <v>920</v>
      </c>
      <c r="D33" s="77">
        <f t="shared" si="5"/>
        <v>8042</v>
      </c>
    </row>
    <row r="34" spans="1:4" ht="30" x14ac:dyDescent="0.2">
      <c r="A34" s="77">
        <f t="shared" si="4"/>
        <v>33</v>
      </c>
      <c r="B34" s="77"/>
      <c r="C34" s="455" t="s">
        <v>921</v>
      </c>
      <c r="D34" s="77">
        <f t="shared" si="5"/>
        <v>8043</v>
      </c>
    </row>
    <row r="35" spans="1:4" x14ac:dyDescent="0.2">
      <c r="A35" s="77">
        <f t="shared" si="4"/>
        <v>34</v>
      </c>
      <c r="B35" s="77"/>
      <c r="C35" s="112" t="s">
        <v>922</v>
      </c>
      <c r="D35" s="77">
        <f t="shared" si="5"/>
        <v>8044</v>
      </c>
    </row>
    <row r="36" spans="1:4" ht="30" x14ac:dyDescent="0.2">
      <c r="A36" s="456">
        <f t="shared" si="4"/>
        <v>35</v>
      </c>
      <c r="B36" s="514"/>
      <c r="C36" s="312" t="s">
        <v>923</v>
      </c>
      <c r="D36" s="456">
        <f t="shared" si="5"/>
        <v>8045</v>
      </c>
    </row>
    <row r="37" spans="1:4" x14ac:dyDescent="0.2">
      <c r="A37" s="77">
        <f t="shared" si="4"/>
        <v>36</v>
      </c>
      <c r="B37" s="77"/>
      <c r="C37" s="112" t="s">
        <v>924</v>
      </c>
      <c r="D37" s="77">
        <f t="shared" si="5"/>
        <v>8046</v>
      </c>
    </row>
    <row r="38" spans="1:4" ht="30" x14ac:dyDescent="0.2">
      <c r="A38" s="77">
        <f t="shared" si="4"/>
        <v>37</v>
      </c>
      <c r="B38" s="77"/>
      <c r="C38" s="455" t="s">
        <v>925</v>
      </c>
      <c r="D38" s="77">
        <f t="shared" si="5"/>
        <v>8047</v>
      </c>
    </row>
    <row r="39" spans="1:4" x14ac:dyDescent="0.2">
      <c r="A39" s="77">
        <f t="shared" si="4"/>
        <v>38</v>
      </c>
      <c r="B39" s="77"/>
      <c r="C39" s="112" t="s">
        <v>926</v>
      </c>
      <c r="D39" s="77">
        <f t="shared" si="5"/>
        <v>8048</v>
      </c>
    </row>
    <row r="40" spans="1:4" ht="30" x14ac:dyDescent="0.2">
      <c r="A40" s="77">
        <f t="shared" si="4"/>
        <v>39</v>
      </c>
      <c r="B40" s="77"/>
      <c r="C40" s="693" t="s">
        <v>927</v>
      </c>
      <c r="D40" s="77">
        <f t="shared" si="5"/>
        <v>8049</v>
      </c>
    </row>
    <row r="41" spans="1:4" ht="30" x14ac:dyDescent="0.2">
      <c r="A41" s="77">
        <f t="shared" si="4"/>
        <v>40</v>
      </c>
      <c r="B41" s="77"/>
      <c r="C41" s="455" t="s">
        <v>928</v>
      </c>
      <c r="D41" s="77">
        <f t="shared" si="5"/>
        <v>8050</v>
      </c>
    </row>
    <row r="43" spans="1:4" ht="15.75" x14ac:dyDescent="0.25">
      <c r="C43" s="79" t="s">
        <v>930</v>
      </c>
    </row>
    <row r="44" spans="1:4" ht="30" x14ac:dyDescent="0.2">
      <c r="A44" s="77">
        <v>1</v>
      </c>
      <c r="B44" s="77"/>
      <c r="C44" s="455" t="s">
        <v>931</v>
      </c>
      <c r="D44" s="77">
        <v>8104</v>
      </c>
    </row>
    <row r="45" spans="1:4" ht="30" x14ac:dyDescent="0.2">
      <c r="A45" s="77">
        <f>A44+1</f>
        <v>2</v>
      </c>
      <c r="B45" s="77"/>
      <c r="C45" s="455" t="s">
        <v>932</v>
      </c>
      <c r="D45" s="77">
        <v>8106</v>
      </c>
    </row>
    <row r="46" spans="1:4" ht="30" x14ac:dyDescent="0.2">
      <c r="A46" s="77">
        <f t="shared" ref="A46:A72" si="6">A45+1</f>
        <v>3</v>
      </c>
      <c r="B46" s="77"/>
      <c r="C46" s="455" t="s">
        <v>933</v>
      </c>
      <c r="D46" s="77">
        <v>8109</v>
      </c>
    </row>
    <row r="47" spans="1:4" ht="30" x14ac:dyDescent="0.2">
      <c r="A47" s="77">
        <f t="shared" si="6"/>
        <v>4</v>
      </c>
      <c r="B47" s="77"/>
      <c r="C47" s="455" t="s">
        <v>934</v>
      </c>
      <c r="D47" s="77">
        <v>8111</v>
      </c>
    </row>
    <row r="48" spans="1:4" x14ac:dyDescent="0.2">
      <c r="A48" s="77">
        <f t="shared" si="6"/>
        <v>5</v>
      </c>
      <c r="B48" s="77"/>
      <c r="C48" s="112" t="s">
        <v>935</v>
      </c>
      <c r="D48" s="77">
        <v>8120</v>
      </c>
    </row>
    <row r="49" spans="1:4" ht="30" x14ac:dyDescent="0.2">
      <c r="A49" s="77">
        <f t="shared" si="6"/>
        <v>6</v>
      </c>
      <c r="B49" s="77"/>
      <c r="C49" s="455" t="s">
        <v>936</v>
      </c>
      <c r="D49" s="77">
        <v>8121</v>
      </c>
    </row>
    <row r="50" spans="1:4" x14ac:dyDescent="0.2">
      <c r="A50" s="77">
        <f t="shared" si="6"/>
        <v>7</v>
      </c>
      <c r="B50" s="77"/>
      <c r="C50" s="112" t="s">
        <v>937</v>
      </c>
      <c r="D50" s="77">
        <v>8125</v>
      </c>
    </row>
    <row r="51" spans="1:4" ht="30" x14ac:dyDescent="0.2">
      <c r="A51" s="77">
        <f t="shared" si="6"/>
        <v>8</v>
      </c>
      <c r="B51" s="77"/>
      <c r="C51" s="455" t="s">
        <v>938</v>
      </c>
      <c r="D51" s="77">
        <v>8127</v>
      </c>
    </row>
    <row r="52" spans="1:4" x14ac:dyDescent="0.2">
      <c r="A52" s="77">
        <f t="shared" si="6"/>
        <v>9</v>
      </c>
      <c r="B52" s="77"/>
      <c r="C52" s="112" t="s">
        <v>939</v>
      </c>
      <c r="D52" s="77">
        <v>8133</v>
      </c>
    </row>
    <row r="53" spans="1:4" ht="30" x14ac:dyDescent="0.2">
      <c r="A53" s="77">
        <f t="shared" si="6"/>
        <v>10</v>
      </c>
      <c r="B53" s="77"/>
      <c r="C53" s="455" t="s">
        <v>940</v>
      </c>
      <c r="D53" s="77">
        <v>8134</v>
      </c>
    </row>
    <row r="54" spans="1:4" x14ac:dyDescent="0.2">
      <c r="A54" s="456">
        <f t="shared" si="6"/>
        <v>11</v>
      </c>
      <c r="B54" s="514"/>
      <c r="C54" s="457" t="s">
        <v>941</v>
      </c>
      <c r="D54" s="456">
        <v>8140</v>
      </c>
    </row>
    <row r="55" spans="1:4" x14ac:dyDescent="0.2">
      <c r="A55" s="458">
        <f t="shared" si="6"/>
        <v>12</v>
      </c>
      <c r="B55" s="458"/>
      <c r="C55" s="459" t="s">
        <v>942</v>
      </c>
      <c r="D55" s="458">
        <v>8141</v>
      </c>
    </row>
    <row r="56" spans="1:4" x14ac:dyDescent="0.2">
      <c r="A56" s="77">
        <f t="shared" si="6"/>
        <v>13</v>
      </c>
      <c r="B56" s="77"/>
      <c r="C56" s="112" t="s">
        <v>943</v>
      </c>
      <c r="D56" s="77">
        <v>8142</v>
      </c>
    </row>
    <row r="57" spans="1:4" ht="45" x14ac:dyDescent="0.2">
      <c r="A57" s="77">
        <f t="shared" si="6"/>
        <v>14</v>
      </c>
      <c r="B57" s="77"/>
      <c r="C57" s="455" t="s">
        <v>944</v>
      </c>
      <c r="D57" s="77">
        <v>8145</v>
      </c>
    </row>
    <row r="58" spans="1:4" x14ac:dyDescent="0.2">
      <c r="A58" s="77">
        <f t="shared" si="6"/>
        <v>15</v>
      </c>
      <c r="B58" s="77"/>
      <c r="C58" s="112" t="s">
        <v>945</v>
      </c>
      <c r="D58" s="77">
        <v>8156</v>
      </c>
    </row>
    <row r="59" spans="1:4" ht="45" x14ac:dyDescent="0.2">
      <c r="A59" s="77">
        <f t="shared" si="6"/>
        <v>16</v>
      </c>
      <c r="B59" s="77"/>
      <c r="C59" s="455" t="s">
        <v>946</v>
      </c>
      <c r="D59" s="77">
        <v>8159</v>
      </c>
    </row>
    <row r="60" spans="1:4" x14ac:dyDescent="0.2">
      <c r="A60" s="77">
        <f t="shared" si="6"/>
        <v>17</v>
      </c>
      <c r="B60" s="77"/>
      <c r="C60" s="112" t="s">
        <v>947</v>
      </c>
      <c r="D60" s="77">
        <v>8160</v>
      </c>
    </row>
    <row r="61" spans="1:4" ht="30" x14ac:dyDescent="0.2">
      <c r="A61" s="77">
        <f t="shared" si="6"/>
        <v>18</v>
      </c>
      <c r="B61" s="77"/>
      <c r="C61" s="455" t="s">
        <v>948</v>
      </c>
      <c r="D61" s="77">
        <v>8164</v>
      </c>
    </row>
    <row r="62" spans="1:4" ht="30" x14ac:dyDescent="0.2">
      <c r="A62" s="77">
        <f t="shared" si="6"/>
        <v>19</v>
      </c>
      <c r="B62" s="77"/>
      <c r="C62" s="455" t="s">
        <v>949</v>
      </c>
      <c r="D62" s="77">
        <v>8165</v>
      </c>
    </row>
    <row r="63" spans="1:4" ht="30" x14ac:dyDescent="0.2">
      <c r="A63" s="77">
        <f t="shared" si="6"/>
        <v>20</v>
      </c>
      <c r="B63" s="77"/>
      <c r="C63" s="455" t="s">
        <v>950</v>
      </c>
      <c r="D63" s="77">
        <v>8166</v>
      </c>
    </row>
    <row r="64" spans="1:4" ht="30" x14ac:dyDescent="0.2">
      <c r="A64" s="77">
        <f t="shared" si="6"/>
        <v>21</v>
      </c>
      <c r="B64" s="77"/>
      <c r="C64" s="455" t="s">
        <v>951</v>
      </c>
      <c r="D64" s="77">
        <v>8167</v>
      </c>
    </row>
    <row r="65" spans="1:4" ht="30" x14ac:dyDescent="0.2">
      <c r="A65" s="77">
        <f t="shared" si="6"/>
        <v>22</v>
      </c>
      <c r="B65" s="77"/>
      <c r="C65" s="455" t="s">
        <v>952</v>
      </c>
      <c r="D65" s="77">
        <v>8168</v>
      </c>
    </row>
    <row r="66" spans="1:4" ht="45" x14ac:dyDescent="0.2">
      <c r="A66" s="77">
        <f t="shared" si="6"/>
        <v>23</v>
      </c>
      <c r="B66" s="77"/>
      <c r="C66" s="455" t="s">
        <v>953</v>
      </c>
      <c r="D66" s="77">
        <v>8169</v>
      </c>
    </row>
    <row r="67" spans="1:4" x14ac:dyDescent="0.2">
      <c r="A67" s="77">
        <f t="shared" si="6"/>
        <v>24</v>
      </c>
      <c r="B67" s="77"/>
      <c r="C67" s="112" t="s">
        <v>954</v>
      </c>
      <c r="D67" s="77">
        <v>8170</v>
      </c>
    </row>
    <row r="68" spans="1:4" x14ac:dyDescent="0.2">
      <c r="A68" s="77">
        <f t="shared" si="6"/>
        <v>25</v>
      </c>
      <c r="B68" s="77"/>
      <c r="C68" s="112" t="s">
        <v>955</v>
      </c>
      <c r="D68" s="77">
        <v>8171</v>
      </c>
    </row>
    <row r="69" spans="1:4" x14ac:dyDescent="0.2">
      <c r="A69" s="77">
        <f t="shared" si="6"/>
        <v>26</v>
      </c>
      <c r="B69" s="77"/>
      <c r="C69" s="112" t="s">
        <v>956</v>
      </c>
      <c r="D69" s="77">
        <v>8172</v>
      </c>
    </row>
    <row r="70" spans="1:4" ht="30" x14ac:dyDescent="0.2">
      <c r="A70" s="77">
        <f t="shared" si="6"/>
        <v>27</v>
      </c>
      <c r="B70" s="77"/>
      <c r="C70" s="455" t="s">
        <v>957</v>
      </c>
      <c r="D70" s="77">
        <v>8173</v>
      </c>
    </row>
    <row r="71" spans="1:4" ht="30" x14ac:dyDescent="0.2">
      <c r="A71" s="77">
        <f t="shared" si="6"/>
        <v>28</v>
      </c>
      <c r="B71" s="77"/>
      <c r="C71" s="455" t="s">
        <v>958</v>
      </c>
      <c r="D71" s="77">
        <v>8174</v>
      </c>
    </row>
    <row r="72" spans="1:4" ht="30" x14ac:dyDescent="0.2">
      <c r="A72" s="77">
        <f t="shared" si="6"/>
        <v>29</v>
      </c>
      <c r="B72" s="77"/>
      <c r="C72" s="455" t="s">
        <v>959</v>
      </c>
      <c r="D72" s="77">
        <v>8175</v>
      </c>
    </row>
    <row r="73" spans="1:4" x14ac:dyDescent="0.2">
      <c r="A73" s="77" t="s">
        <v>0</v>
      </c>
      <c r="B73" s="77"/>
      <c r="C73" s="112"/>
      <c r="D73" s="77"/>
    </row>
    <row r="75" spans="1:4" ht="15.75" x14ac:dyDescent="0.2">
      <c r="C75" s="428" t="s">
        <v>960</v>
      </c>
    </row>
    <row r="76" spans="1:4" ht="30" x14ac:dyDescent="0.2">
      <c r="C76" s="426" t="s">
        <v>961</v>
      </c>
    </row>
    <row r="78" spans="1:4" x14ac:dyDescent="0.2">
      <c r="A78" s="429">
        <v>1</v>
      </c>
      <c r="C78" s="460" t="s">
        <v>962</v>
      </c>
    </row>
    <row r="79" spans="1:4" x14ac:dyDescent="0.2">
      <c r="A79" s="429">
        <f>A78+1</f>
        <v>2</v>
      </c>
      <c r="C79" s="460" t="s">
        <v>963</v>
      </c>
    </row>
    <row r="80" spans="1:4" x14ac:dyDescent="0.2">
      <c r="A80" s="429">
        <f t="shared" ref="A80:A89" si="7">A79+1</f>
        <v>3</v>
      </c>
      <c r="C80" s="460" t="s">
        <v>964</v>
      </c>
    </row>
    <row r="81" spans="1:3" ht="34.5" customHeight="1" x14ac:dyDescent="0.2">
      <c r="A81" s="429">
        <f t="shared" si="7"/>
        <v>4</v>
      </c>
      <c r="C81" s="426" t="s">
        <v>965</v>
      </c>
    </row>
    <row r="82" spans="1:3" ht="45" x14ac:dyDescent="0.2">
      <c r="A82" s="429">
        <f t="shared" si="7"/>
        <v>5</v>
      </c>
      <c r="C82" s="461" t="s">
        <v>966</v>
      </c>
    </row>
    <row r="83" spans="1:3" ht="60" x14ac:dyDescent="0.2">
      <c r="C83" s="461" t="s">
        <v>967</v>
      </c>
    </row>
    <row r="84" spans="1:3" ht="30" x14ac:dyDescent="0.2">
      <c r="A84" s="464">
        <f>A82+1</f>
        <v>6</v>
      </c>
      <c r="B84" s="464"/>
      <c r="C84" s="465" t="s">
        <v>968</v>
      </c>
    </row>
    <row r="85" spans="1:3" ht="33.75" customHeight="1" x14ac:dyDescent="0.2">
      <c r="A85" s="464">
        <f t="shared" si="7"/>
        <v>7</v>
      </c>
      <c r="B85" s="464"/>
      <c r="C85" s="466" t="s">
        <v>969</v>
      </c>
    </row>
    <row r="86" spans="1:3" x14ac:dyDescent="0.2">
      <c r="A86" s="464"/>
      <c r="B86" s="464"/>
      <c r="C86" s="466" t="s">
        <v>970</v>
      </c>
    </row>
    <row r="87" spans="1:3" ht="30" x14ac:dyDescent="0.2">
      <c r="A87" s="464">
        <f>A85+1</f>
        <v>8</v>
      </c>
      <c r="B87" s="464"/>
      <c r="C87" s="465" t="s">
        <v>971</v>
      </c>
    </row>
    <row r="88" spans="1:3" ht="30" x14ac:dyDescent="0.2">
      <c r="A88" s="464">
        <f t="shared" si="7"/>
        <v>9</v>
      </c>
      <c r="B88" s="464"/>
      <c r="C88" s="465" t="s">
        <v>972</v>
      </c>
    </row>
    <row r="89" spans="1:3" ht="30" x14ac:dyDescent="0.2">
      <c r="A89" s="429">
        <f t="shared" si="7"/>
        <v>10</v>
      </c>
      <c r="C89" s="461" t="s">
        <v>973</v>
      </c>
    </row>
    <row r="90" spans="1:3" ht="45" x14ac:dyDescent="0.2">
      <c r="C90" s="461" t="s">
        <v>974</v>
      </c>
    </row>
    <row r="91" spans="1:3" ht="9.9499999999999993" customHeight="1" x14ac:dyDescent="0.2">
      <c r="C91" s="461"/>
    </row>
    <row r="92" spans="1:3" ht="45.75" x14ac:dyDescent="0.2">
      <c r="A92" s="429" t="s">
        <v>0</v>
      </c>
      <c r="C92" s="462" t="s">
        <v>975</v>
      </c>
    </row>
    <row r="93" spans="1:3" ht="9.9499999999999993" customHeight="1" x14ac:dyDescent="0.2">
      <c r="A93" s="429" t="s">
        <v>0</v>
      </c>
    </row>
    <row r="94" spans="1:3" ht="60.75" x14ac:dyDescent="0.2">
      <c r="A94" s="429" t="s">
        <v>0</v>
      </c>
      <c r="C94" s="463" t="s">
        <v>976</v>
      </c>
    </row>
    <row r="95" spans="1:3" x14ac:dyDescent="0.2">
      <c r="A95" s="429" t="s">
        <v>0</v>
      </c>
    </row>
    <row r="96" spans="1:3" ht="30.75" x14ac:dyDescent="0.2">
      <c r="A96" s="429" t="s">
        <v>370</v>
      </c>
      <c r="C96" s="463" t="s">
        <v>977</v>
      </c>
    </row>
    <row r="97" spans="1:3" x14ac:dyDescent="0.2">
      <c r="A97" s="429" t="s">
        <v>0</v>
      </c>
    </row>
    <row r="98" spans="1:3" ht="30.75" x14ac:dyDescent="0.2">
      <c r="A98" s="429" t="s">
        <v>0</v>
      </c>
      <c r="C98" s="266" t="s">
        <v>983</v>
      </c>
    </row>
    <row r="99" spans="1:3" x14ac:dyDescent="0.2">
      <c r="A99" s="429" t="s">
        <v>0</v>
      </c>
    </row>
    <row r="100" spans="1:3" ht="45.75" x14ac:dyDescent="0.2">
      <c r="C100" s="467" t="s">
        <v>984</v>
      </c>
    </row>
  </sheetData>
  <hyperlinks>
    <hyperlink ref="C94" r:id="rId1" display="https://accounter.co/normatividad/leyes/3335-por-la-cual-se-introducen-reformas-al-codigo-sustantivo-del-trabajo-y-se-dictan-otras-disposiciones.html"/>
    <hyperlink ref="C96" r:id="rId2" display="https://accounter.co/normatividad/leyes/8063-por-el-cual-se-crea-el-sistema-de-seguridad-social-integral-y-se-dictan-otras-disposiciones.html"/>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workbookViewId="0">
      <pane xSplit="1" ySplit="1" topLeftCell="B2" activePane="bottomRight" state="frozen"/>
      <selection pane="topRight" activeCell="B1" sqref="B1"/>
      <selection pane="bottomLeft" activeCell="A2" sqref="A2"/>
      <selection pane="bottomRight" activeCell="B17" sqref="B17"/>
    </sheetView>
  </sheetViews>
  <sheetFormatPr baseColWidth="10" defaultRowHeight="15" x14ac:dyDescent="0.2"/>
  <cols>
    <col min="1" max="1" width="55.140625" style="75" customWidth="1"/>
    <col min="2" max="2" width="10.85546875" style="362" bestFit="1" customWidth="1"/>
    <col min="3" max="3" width="15.85546875" style="221" bestFit="1" customWidth="1"/>
    <col min="4" max="4" width="11.5703125" style="75" bestFit="1" customWidth="1"/>
    <col min="5" max="5" width="11.42578125" style="75"/>
    <col min="6" max="6" width="15.42578125" style="75" bestFit="1" customWidth="1"/>
    <col min="7" max="7" width="26.28515625" style="76" bestFit="1" customWidth="1"/>
    <col min="8" max="8" width="11.42578125" style="75"/>
    <col min="9" max="9" width="11.42578125" style="76"/>
    <col min="10" max="16384" width="11.42578125" style="75"/>
  </cols>
  <sheetData>
    <row r="1" spans="1:7" ht="47.25" x14ac:dyDescent="0.2">
      <c r="A1" s="134" t="s">
        <v>458</v>
      </c>
      <c r="B1" s="358" t="s">
        <v>459</v>
      </c>
      <c r="C1" s="135" t="s">
        <v>460</v>
      </c>
      <c r="D1" s="135" t="s">
        <v>709</v>
      </c>
      <c r="F1" s="139" t="s">
        <v>504</v>
      </c>
      <c r="G1" s="138">
        <v>38004</v>
      </c>
    </row>
    <row r="2" spans="1:7" ht="15.75" x14ac:dyDescent="0.2">
      <c r="A2" s="134"/>
      <c r="B2" s="358"/>
      <c r="C2" s="217"/>
      <c r="D2" s="135"/>
      <c r="F2" s="139"/>
      <c r="G2" s="138"/>
    </row>
    <row r="3" spans="1:7" ht="15.75" x14ac:dyDescent="0.25">
      <c r="A3" s="134" t="s">
        <v>1025</v>
      </c>
      <c r="B3" s="358"/>
      <c r="C3" s="211">
        <v>38004</v>
      </c>
      <c r="D3" s="135"/>
      <c r="F3" s="270">
        <v>4</v>
      </c>
      <c r="G3" s="270">
        <f>ROUND((F3*$G$1),-3)</f>
        <v>152000</v>
      </c>
    </row>
    <row r="4" spans="1:7" ht="15.75" x14ac:dyDescent="0.25">
      <c r="A4" s="134"/>
      <c r="B4" s="358"/>
      <c r="C4" s="217"/>
      <c r="D4" s="135"/>
      <c r="F4" s="275">
        <v>5</v>
      </c>
      <c r="G4" s="272">
        <f>ROUND((F4*$G$1),-3)</f>
        <v>190000</v>
      </c>
    </row>
    <row r="5" spans="1:7" ht="15.75" x14ac:dyDescent="0.25">
      <c r="A5" s="136" t="s">
        <v>461</v>
      </c>
      <c r="B5" s="367">
        <v>27</v>
      </c>
      <c r="C5" s="246">
        <f>ROUND((B5*$C$3),-3)</f>
        <v>1026000</v>
      </c>
      <c r="D5" s="363">
        <v>2.5000000000000001E-2</v>
      </c>
      <c r="F5" s="270">
        <v>10</v>
      </c>
      <c r="G5" s="270">
        <f t="shared" ref="G5:G9" si="0">ROUND((F5*$G$1),-3)</f>
        <v>380000</v>
      </c>
    </row>
    <row r="6" spans="1:7" ht="15.75" x14ac:dyDescent="0.25">
      <c r="A6" s="136"/>
      <c r="B6" s="359"/>
      <c r="C6" s="218"/>
      <c r="D6" s="363"/>
      <c r="F6" s="274">
        <v>27</v>
      </c>
      <c r="G6" s="271">
        <f t="shared" si="0"/>
        <v>1026000</v>
      </c>
    </row>
    <row r="7" spans="1:7" ht="15.75" x14ac:dyDescent="0.25">
      <c r="A7" s="136" t="s">
        <v>462</v>
      </c>
      <c r="B7" s="367">
        <v>27</v>
      </c>
      <c r="C7" s="246">
        <f>ROUND((B7*$C$3),-3)</f>
        <v>1026000</v>
      </c>
      <c r="D7" s="363">
        <v>3.5000000000000003E-2</v>
      </c>
      <c r="F7" s="270">
        <v>92</v>
      </c>
      <c r="G7" s="270">
        <f t="shared" si="0"/>
        <v>3496000</v>
      </c>
    </row>
    <row r="8" spans="1:7" ht="15.75" x14ac:dyDescent="0.25">
      <c r="A8" s="136"/>
      <c r="B8" s="359"/>
      <c r="C8" s="218"/>
      <c r="D8" s="363"/>
      <c r="F8" s="273">
        <v>160</v>
      </c>
      <c r="G8" s="273">
        <f t="shared" si="0"/>
        <v>6081000</v>
      </c>
    </row>
    <row r="9" spans="1:7" ht="15.75" x14ac:dyDescent="0.25">
      <c r="A9" s="136" t="s">
        <v>463</v>
      </c>
      <c r="B9" s="359">
        <v>0</v>
      </c>
      <c r="C9" s="216">
        <v>1</v>
      </c>
      <c r="D9" s="363">
        <v>1.4999999999999999E-2</v>
      </c>
      <c r="F9" s="270">
        <v>20000</v>
      </c>
      <c r="G9" s="270">
        <f t="shared" si="0"/>
        <v>760080000</v>
      </c>
    </row>
    <row r="10" spans="1:7" x14ac:dyDescent="0.2">
      <c r="A10" s="136"/>
      <c r="B10" s="359"/>
      <c r="C10" s="216"/>
      <c r="D10" s="363"/>
      <c r="F10" s="76"/>
    </row>
    <row r="11" spans="1:7" ht="30" x14ac:dyDescent="0.2">
      <c r="A11" s="368" t="s">
        <v>464</v>
      </c>
      <c r="B11" s="367">
        <v>92</v>
      </c>
      <c r="C11" s="246">
        <f>ROUND((B11*$C$3),-3)</f>
        <v>3496000</v>
      </c>
      <c r="D11" s="363">
        <v>1.4999999999999999E-2</v>
      </c>
    </row>
    <row r="12" spans="1:7" x14ac:dyDescent="0.2">
      <c r="A12" s="136"/>
      <c r="B12" s="359"/>
      <c r="C12" s="218"/>
      <c r="D12" s="363"/>
    </row>
    <row r="13" spans="1:7" ht="42" customHeight="1" x14ac:dyDescent="0.2">
      <c r="A13" s="278" t="s">
        <v>465</v>
      </c>
      <c r="B13" s="367">
        <v>27</v>
      </c>
      <c r="C13" s="246">
        <f>ROUND((B13*$C$3),-3)</f>
        <v>1026000</v>
      </c>
      <c r="D13" s="363">
        <v>2.5000000000000001E-2</v>
      </c>
    </row>
    <row r="14" spans="1:7" x14ac:dyDescent="0.2">
      <c r="A14" s="136"/>
      <c r="B14" s="359"/>
      <c r="C14" s="218"/>
      <c r="D14" s="363"/>
    </row>
    <row r="15" spans="1:7" ht="45" x14ac:dyDescent="0.2">
      <c r="A15" s="213" t="s">
        <v>466</v>
      </c>
      <c r="B15" s="359">
        <v>27</v>
      </c>
      <c r="C15" s="212">
        <f>ROUND((B15*$C$3),-3)</f>
        <v>1026000</v>
      </c>
      <c r="D15" s="363">
        <v>3.5000000000000003E-2</v>
      </c>
    </row>
    <row r="16" spans="1:7" x14ac:dyDescent="0.2">
      <c r="A16" s="136"/>
      <c r="B16" s="359"/>
      <c r="C16" s="218"/>
      <c r="D16" s="363"/>
    </row>
    <row r="17" spans="1:6" x14ac:dyDescent="0.2">
      <c r="A17" s="278" t="s">
        <v>467</v>
      </c>
      <c r="B17" s="367">
        <v>160</v>
      </c>
      <c r="C17" s="246">
        <f>ROUND((B17*$C$3),-3)</f>
        <v>6081000</v>
      </c>
      <c r="D17" s="363">
        <v>5.0000000000000001E-3</v>
      </c>
    </row>
    <row r="18" spans="1:6" x14ac:dyDescent="0.2">
      <c r="A18" s="136"/>
      <c r="B18" s="359"/>
      <c r="C18" s="218"/>
      <c r="D18" s="363"/>
    </row>
    <row r="19" spans="1:6" x14ac:dyDescent="0.2">
      <c r="A19" s="215" t="s">
        <v>468</v>
      </c>
      <c r="B19" s="359">
        <v>0</v>
      </c>
      <c r="C19" s="216">
        <v>1</v>
      </c>
      <c r="D19" s="363">
        <v>1E-3</v>
      </c>
    </row>
    <row r="20" spans="1:6" x14ac:dyDescent="0.2">
      <c r="A20" s="136"/>
      <c r="B20" s="359"/>
      <c r="C20" s="216"/>
      <c r="D20" s="363"/>
    </row>
    <row r="21" spans="1:6" ht="45" x14ac:dyDescent="0.2">
      <c r="A21" s="388" t="s">
        <v>469</v>
      </c>
      <c r="B21" s="389">
        <v>0</v>
      </c>
      <c r="C21" s="390">
        <v>1</v>
      </c>
      <c r="D21" s="391">
        <v>0.01</v>
      </c>
    </row>
    <row r="22" spans="1:6" x14ac:dyDescent="0.2">
      <c r="A22" s="136"/>
      <c r="B22" s="359"/>
      <c r="C22" s="216"/>
      <c r="D22" s="364"/>
    </row>
    <row r="23" spans="1:6" x14ac:dyDescent="0.2">
      <c r="A23" s="136" t="s">
        <v>470</v>
      </c>
      <c r="B23" s="359">
        <v>0</v>
      </c>
      <c r="C23" s="216">
        <v>1</v>
      </c>
      <c r="D23" s="364">
        <v>0.01</v>
      </c>
    </row>
    <row r="24" spans="1:6" x14ac:dyDescent="0.2">
      <c r="A24" s="136"/>
      <c r="B24" s="359"/>
      <c r="C24" s="216"/>
      <c r="D24" s="364"/>
    </row>
    <row r="25" spans="1:6" ht="45" x14ac:dyDescent="0.2">
      <c r="A25" s="136" t="s">
        <v>708</v>
      </c>
      <c r="B25" s="359">
        <v>0</v>
      </c>
      <c r="C25" s="216">
        <v>1</v>
      </c>
      <c r="D25" s="364">
        <v>0.01</v>
      </c>
    </row>
    <row r="26" spans="1:6" x14ac:dyDescent="0.2">
      <c r="A26" s="136"/>
      <c r="B26" s="359"/>
      <c r="C26" s="216"/>
      <c r="D26" s="364"/>
    </row>
    <row r="27" spans="1:6" ht="51" customHeight="1" x14ac:dyDescent="0.2">
      <c r="A27" s="213" t="s">
        <v>710</v>
      </c>
      <c r="B27" s="360">
        <v>20000</v>
      </c>
      <c r="C27" s="212">
        <f>ROUND((B27*$C$3),-3)</f>
        <v>760080000</v>
      </c>
      <c r="D27" s="363">
        <v>2.5000000000000001E-2</v>
      </c>
    </row>
    <row r="28" spans="1:6" x14ac:dyDescent="0.2">
      <c r="A28" s="136"/>
      <c r="B28" s="360"/>
      <c r="C28" s="218"/>
      <c r="D28" s="363"/>
    </row>
    <row r="29" spans="1:6" ht="30" x14ac:dyDescent="0.2">
      <c r="A29" s="213" t="s">
        <v>471</v>
      </c>
      <c r="B29" s="359">
        <v>0</v>
      </c>
      <c r="C29" s="216">
        <v>1</v>
      </c>
      <c r="D29" s="363">
        <v>2.5000000000000001E-2</v>
      </c>
    </row>
    <row r="30" spans="1:6" x14ac:dyDescent="0.2">
      <c r="A30" s="136"/>
      <c r="B30" s="359"/>
      <c r="C30" s="216"/>
      <c r="D30" s="363"/>
    </row>
    <row r="31" spans="1:6" x14ac:dyDescent="0.2">
      <c r="A31" s="278" t="s">
        <v>472</v>
      </c>
      <c r="B31" s="367">
        <v>4</v>
      </c>
      <c r="C31" s="246">
        <f>ROUND((B31*$C$3),-3)</f>
        <v>152000</v>
      </c>
      <c r="D31" s="364">
        <v>0.04</v>
      </c>
      <c r="F31" s="222"/>
    </row>
    <row r="32" spans="1:6" x14ac:dyDescent="0.2">
      <c r="A32" s="136"/>
      <c r="B32" s="359"/>
      <c r="C32" s="218"/>
      <c r="D32" s="364"/>
    </row>
    <row r="33" spans="1:6" x14ac:dyDescent="0.2">
      <c r="A33" s="278" t="s">
        <v>473</v>
      </c>
      <c r="B33" s="367">
        <v>4</v>
      </c>
      <c r="C33" s="246">
        <f>ROUND((B33*$C$3),-3)</f>
        <v>152000</v>
      </c>
      <c r="D33" s="364">
        <v>0.06</v>
      </c>
      <c r="F33" s="222"/>
    </row>
    <row r="34" spans="1:6" x14ac:dyDescent="0.2">
      <c r="A34" s="136"/>
      <c r="B34" s="359"/>
      <c r="C34" s="218"/>
      <c r="D34" s="364"/>
    </row>
    <row r="35" spans="1:6" x14ac:dyDescent="0.2">
      <c r="A35" s="326" t="s">
        <v>474</v>
      </c>
      <c r="B35" s="369">
        <v>27</v>
      </c>
      <c r="C35" s="327">
        <f>ROUND((B35*$C$3),-3)</f>
        <v>1026000</v>
      </c>
      <c r="D35" s="364">
        <v>0.04</v>
      </c>
    </row>
    <row r="36" spans="1:6" x14ac:dyDescent="0.2">
      <c r="A36" s="359"/>
      <c r="B36" s="359"/>
      <c r="C36" s="364"/>
      <c r="D36" s="364"/>
    </row>
    <row r="37" spans="1:6" x14ac:dyDescent="0.2">
      <c r="A37" s="326" t="s">
        <v>475</v>
      </c>
      <c r="B37" s="369">
        <v>27</v>
      </c>
      <c r="C37" s="327">
        <f>ROUND((B37*$C$3),-3)</f>
        <v>1026000</v>
      </c>
      <c r="D37" s="363">
        <v>3.5000000000000003E-2</v>
      </c>
    </row>
    <row r="38" spans="1:6" x14ac:dyDescent="0.2">
      <c r="A38" s="136"/>
      <c r="B38" s="359"/>
      <c r="C38" s="218"/>
      <c r="D38" s="363"/>
    </row>
    <row r="39" spans="1:6" x14ac:dyDescent="0.2">
      <c r="A39" s="328" t="s">
        <v>476</v>
      </c>
      <c r="B39" s="369">
        <v>4</v>
      </c>
      <c r="C39" s="327">
        <f>ROUND((B39*$C$3),-3)</f>
        <v>152000</v>
      </c>
      <c r="D39" s="364">
        <v>0.01</v>
      </c>
    </row>
    <row r="40" spans="1:6" x14ac:dyDescent="0.2">
      <c r="A40" s="136"/>
      <c r="B40" s="359"/>
      <c r="C40" s="218"/>
      <c r="D40" s="364"/>
    </row>
    <row r="41" spans="1:6" ht="30" x14ac:dyDescent="0.2">
      <c r="A41" s="328" t="s">
        <v>477</v>
      </c>
      <c r="B41" s="369">
        <v>27</v>
      </c>
      <c r="C41" s="327">
        <f>ROUND((B41*$C$3),-3)</f>
        <v>1026000</v>
      </c>
      <c r="D41" s="363">
        <v>3.5000000000000003E-2</v>
      </c>
    </row>
    <row r="42" spans="1:6" x14ac:dyDescent="0.2">
      <c r="A42" s="136"/>
      <c r="B42" s="359"/>
      <c r="C42" s="218"/>
      <c r="D42" s="363"/>
    </row>
    <row r="43" spans="1:6" ht="30" x14ac:dyDescent="0.2">
      <c r="A43" s="136" t="s">
        <v>478</v>
      </c>
      <c r="B43" s="359">
        <v>27</v>
      </c>
      <c r="C43" s="212">
        <f>ROUND((B43*$C$3),-3)</f>
        <v>1026000</v>
      </c>
      <c r="D43" s="363">
        <v>3.5000000000000003E-2</v>
      </c>
    </row>
    <row r="44" spans="1:6" x14ac:dyDescent="0.2">
      <c r="A44" s="136"/>
      <c r="B44" s="359"/>
      <c r="C44" s="218"/>
      <c r="D44" s="363"/>
    </row>
    <row r="45" spans="1:6" ht="30" x14ac:dyDescent="0.2">
      <c r="A45" s="136" t="s">
        <v>479</v>
      </c>
      <c r="B45" s="359">
        <v>4</v>
      </c>
      <c r="C45" s="212">
        <f>ROUND((B45*$C$3),-3)</f>
        <v>152000</v>
      </c>
      <c r="D45" s="364">
        <v>0.01</v>
      </c>
    </row>
    <row r="46" spans="1:6" x14ac:dyDescent="0.2">
      <c r="A46" s="136"/>
      <c r="B46" s="359"/>
      <c r="C46" s="218"/>
      <c r="D46" s="364"/>
    </row>
    <row r="47" spans="1:6" ht="30" x14ac:dyDescent="0.2">
      <c r="A47" s="329" t="s">
        <v>480</v>
      </c>
      <c r="B47" s="359">
        <v>4</v>
      </c>
      <c r="C47" s="330">
        <f>ROUND((B47*$C$3),-3)</f>
        <v>152000</v>
      </c>
      <c r="D47" s="364">
        <v>0.01</v>
      </c>
    </row>
    <row r="48" spans="1:6" x14ac:dyDescent="0.2">
      <c r="A48" s="329"/>
      <c r="B48" s="359"/>
      <c r="C48" s="331"/>
      <c r="D48" s="364"/>
    </row>
    <row r="49" spans="1:4" ht="30" x14ac:dyDescent="0.2">
      <c r="A49" s="329" t="s">
        <v>481</v>
      </c>
      <c r="B49" s="359">
        <v>4</v>
      </c>
      <c r="C49" s="330">
        <f>ROUND((B49*$C$3),-3)</f>
        <v>152000</v>
      </c>
      <c r="D49" s="364">
        <v>0.02</v>
      </c>
    </row>
    <row r="50" spans="1:4" x14ac:dyDescent="0.2">
      <c r="A50" s="136"/>
      <c r="B50" s="359"/>
      <c r="C50" s="218"/>
      <c r="D50" s="364"/>
    </row>
    <row r="51" spans="1:4" x14ac:dyDescent="0.2">
      <c r="A51" s="215" t="s">
        <v>482</v>
      </c>
      <c r="B51" s="359">
        <v>4</v>
      </c>
      <c r="C51" s="212">
        <f>ROUND((B51*$C$3),-3)</f>
        <v>152000</v>
      </c>
      <c r="D51" s="364">
        <v>0.02</v>
      </c>
    </row>
    <row r="52" spans="1:4" x14ac:dyDescent="0.2">
      <c r="A52" s="136"/>
      <c r="B52" s="359"/>
      <c r="C52" s="218"/>
      <c r="D52" s="364"/>
    </row>
    <row r="53" spans="1:4" x14ac:dyDescent="0.2">
      <c r="A53" s="215" t="s">
        <v>483</v>
      </c>
      <c r="B53" s="359">
        <v>4</v>
      </c>
      <c r="C53" s="212">
        <f>ROUND((B53*$C$3),-3)</f>
        <v>152000</v>
      </c>
      <c r="D53" s="363">
        <v>3.5000000000000003E-2</v>
      </c>
    </row>
    <row r="54" spans="1:4" x14ac:dyDescent="0.2">
      <c r="A54" s="136"/>
      <c r="B54" s="359"/>
      <c r="C54" s="218"/>
      <c r="D54" s="363"/>
    </row>
    <row r="55" spans="1:4" x14ac:dyDescent="0.2">
      <c r="A55" s="214" t="s">
        <v>484</v>
      </c>
      <c r="B55" s="359">
        <v>4</v>
      </c>
      <c r="C55" s="212">
        <f>ROUND((B55*$C$3),-3)</f>
        <v>152000</v>
      </c>
      <c r="D55" s="363">
        <v>3.5000000000000003E-2</v>
      </c>
    </row>
    <row r="56" spans="1:4" x14ac:dyDescent="0.2">
      <c r="A56" s="136"/>
      <c r="B56" s="359"/>
      <c r="C56" s="218"/>
      <c r="D56" s="363"/>
    </row>
    <row r="57" spans="1:4" x14ac:dyDescent="0.2">
      <c r="A57" s="136" t="s">
        <v>485</v>
      </c>
      <c r="B57" s="359">
        <v>0</v>
      </c>
      <c r="C57" s="216">
        <v>1</v>
      </c>
      <c r="D57" s="364">
        <v>0.04</v>
      </c>
    </row>
    <row r="58" spans="1:4" x14ac:dyDescent="0.2">
      <c r="A58" s="136"/>
      <c r="B58" s="359"/>
      <c r="C58" s="216"/>
      <c r="D58" s="364"/>
    </row>
    <row r="59" spans="1:4" x14ac:dyDescent="0.2">
      <c r="A59" s="136" t="s">
        <v>486</v>
      </c>
      <c r="B59" s="359">
        <v>27</v>
      </c>
      <c r="C59" s="212">
        <f>ROUND((B59*$C$3),-3)</f>
        <v>1026000</v>
      </c>
      <c r="D59" s="363">
        <v>3.5000000000000003E-2</v>
      </c>
    </row>
    <row r="60" spans="1:4" x14ac:dyDescent="0.2">
      <c r="A60" s="136"/>
      <c r="B60" s="359"/>
      <c r="C60" s="218"/>
      <c r="D60" s="363"/>
    </row>
    <row r="61" spans="1:4" x14ac:dyDescent="0.2">
      <c r="A61" s="215" t="s">
        <v>487</v>
      </c>
      <c r="B61" s="359">
        <v>27</v>
      </c>
      <c r="C61" s="212">
        <f>ROUND((B61*$C$3),-3)</f>
        <v>1026000</v>
      </c>
      <c r="D61" s="363">
        <v>3.5000000000000003E-2</v>
      </c>
    </row>
    <row r="62" spans="1:4" x14ac:dyDescent="0.2">
      <c r="A62" s="136"/>
      <c r="B62" s="359"/>
      <c r="C62" s="218"/>
      <c r="D62" s="363"/>
    </row>
    <row r="63" spans="1:4" x14ac:dyDescent="0.2">
      <c r="A63" s="328" t="s">
        <v>488</v>
      </c>
      <c r="B63" s="369">
        <v>27</v>
      </c>
      <c r="C63" s="327">
        <f>ROUND((B63*$C$3),-3)</f>
        <v>1026000</v>
      </c>
      <c r="D63" s="370">
        <v>2.5000000000000001E-2</v>
      </c>
    </row>
    <row r="64" spans="1:4" x14ac:dyDescent="0.2">
      <c r="A64" s="136"/>
      <c r="B64" s="359"/>
      <c r="C64" s="218"/>
      <c r="D64" s="363"/>
    </row>
    <row r="65" spans="1:7" x14ac:dyDescent="0.2">
      <c r="A65" s="328" t="s">
        <v>489</v>
      </c>
      <c r="B65" s="369">
        <v>27</v>
      </c>
      <c r="C65" s="327">
        <f>ROUND((B65*$C$3),-3)</f>
        <v>1026000</v>
      </c>
      <c r="D65" s="370">
        <v>3.5000000000000003E-2</v>
      </c>
    </row>
    <row r="66" spans="1:7" x14ac:dyDescent="0.2">
      <c r="A66" s="136"/>
      <c r="B66" s="359"/>
      <c r="C66" s="218"/>
      <c r="D66" s="363"/>
    </row>
    <row r="67" spans="1:7" x14ac:dyDescent="0.2">
      <c r="A67" s="136" t="s">
        <v>490</v>
      </c>
      <c r="B67" s="359">
        <v>0</v>
      </c>
      <c r="C67" s="216">
        <v>1</v>
      </c>
      <c r="D67" s="364">
        <v>0.11</v>
      </c>
    </row>
    <row r="68" spans="1:7" x14ac:dyDescent="0.2">
      <c r="A68" s="136"/>
      <c r="B68" s="359"/>
      <c r="C68" s="216"/>
      <c r="D68" s="364"/>
    </row>
    <row r="69" spans="1:7" ht="75.75" x14ac:dyDescent="0.2">
      <c r="A69" s="136" t="s">
        <v>1026</v>
      </c>
      <c r="B69" s="359">
        <v>0</v>
      </c>
      <c r="C69" s="216">
        <v>1</v>
      </c>
      <c r="D69" s="364">
        <v>0.11</v>
      </c>
      <c r="F69" s="392" t="s">
        <v>0</v>
      </c>
      <c r="G69" s="393"/>
    </row>
    <row r="70" spans="1:7" x14ac:dyDescent="0.2">
      <c r="A70" s="136"/>
      <c r="B70" s="359"/>
      <c r="C70" s="216"/>
      <c r="D70" s="364"/>
    </row>
    <row r="71" spans="1:7" x14ac:dyDescent="0.2">
      <c r="A71" s="136" t="s">
        <v>491</v>
      </c>
      <c r="B71" s="359">
        <v>0</v>
      </c>
      <c r="C71" s="216">
        <v>1</v>
      </c>
      <c r="D71" s="364">
        <v>0.1</v>
      </c>
    </row>
    <row r="72" spans="1:7" x14ac:dyDescent="0.2">
      <c r="A72" s="136"/>
      <c r="B72" s="359"/>
      <c r="C72" s="216"/>
      <c r="D72" s="364"/>
    </row>
    <row r="73" spans="1:7" ht="30" x14ac:dyDescent="0.2">
      <c r="A73" s="136" t="s">
        <v>492</v>
      </c>
      <c r="B73" s="359">
        <v>0</v>
      </c>
      <c r="C73" s="216">
        <v>1</v>
      </c>
      <c r="D73" s="363">
        <v>3.5000000000000003E-2</v>
      </c>
    </row>
    <row r="74" spans="1:7" x14ac:dyDescent="0.2">
      <c r="A74" s="136"/>
      <c r="B74" s="359"/>
      <c r="C74" s="216"/>
      <c r="D74" s="363"/>
    </row>
    <row r="75" spans="1:7" x14ac:dyDescent="0.2">
      <c r="A75" s="329" t="s">
        <v>493</v>
      </c>
      <c r="B75" s="372">
        <v>0</v>
      </c>
      <c r="C75" s="373">
        <v>1</v>
      </c>
      <c r="D75" s="374">
        <v>7.0000000000000007E-2</v>
      </c>
    </row>
    <row r="76" spans="1:7" x14ac:dyDescent="0.2">
      <c r="A76" s="136"/>
      <c r="B76" s="359"/>
      <c r="C76" s="216"/>
      <c r="D76" s="364"/>
    </row>
    <row r="77" spans="1:7" ht="30" x14ac:dyDescent="0.2">
      <c r="A77" s="329" t="s">
        <v>494</v>
      </c>
      <c r="B77" s="372">
        <v>0</v>
      </c>
      <c r="C77" s="373">
        <v>1</v>
      </c>
      <c r="D77" s="374">
        <v>0.04</v>
      </c>
    </row>
    <row r="78" spans="1:7" x14ac:dyDescent="0.2">
      <c r="A78" s="136"/>
      <c r="B78" s="359"/>
      <c r="C78" s="216"/>
      <c r="D78" s="364"/>
    </row>
    <row r="79" spans="1:7" x14ac:dyDescent="0.2">
      <c r="A79" s="136" t="s">
        <v>495</v>
      </c>
      <c r="B79" s="359">
        <v>48</v>
      </c>
      <c r="C79" s="212">
        <f>ROUND((B79*$C$3),-3)</f>
        <v>1824000</v>
      </c>
      <c r="D79" s="364">
        <v>0.2</v>
      </c>
    </row>
    <row r="80" spans="1:7" x14ac:dyDescent="0.2">
      <c r="A80" s="136"/>
      <c r="B80" s="359"/>
      <c r="C80" s="219"/>
      <c r="D80" s="364"/>
    </row>
    <row r="81" spans="1:4" ht="30" x14ac:dyDescent="0.2">
      <c r="A81" s="136" t="s">
        <v>496</v>
      </c>
      <c r="B81" s="359">
        <v>5</v>
      </c>
      <c r="C81" s="212">
        <f>ROUND((B81*$C$3),-3)</f>
        <v>190000</v>
      </c>
      <c r="D81" s="364">
        <v>0.03</v>
      </c>
    </row>
    <row r="82" spans="1:4" x14ac:dyDescent="0.2">
      <c r="A82" s="136"/>
      <c r="B82" s="359"/>
      <c r="C82" s="218"/>
      <c r="D82" s="364"/>
    </row>
    <row r="83" spans="1:4" ht="15.75" x14ac:dyDescent="0.2">
      <c r="A83" s="276" t="s">
        <v>497</v>
      </c>
      <c r="B83" s="358">
        <v>0</v>
      </c>
      <c r="C83" s="277">
        <v>1</v>
      </c>
      <c r="D83" s="365">
        <v>0.02</v>
      </c>
    </row>
    <row r="84" spans="1:4" ht="36" customHeight="1" x14ac:dyDescent="0.2">
      <c r="A84" s="580" t="s">
        <v>498</v>
      </c>
      <c r="B84" s="580"/>
      <c r="C84" s="580"/>
      <c r="D84" s="580"/>
    </row>
    <row r="85" spans="1:4" ht="149.25" customHeight="1" x14ac:dyDescent="0.2">
      <c r="A85" s="340" t="s">
        <v>848</v>
      </c>
      <c r="B85" s="361">
        <v>0</v>
      </c>
      <c r="C85" s="342">
        <v>1</v>
      </c>
      <c r="D85" s="371">
        <v>0.2</v>
      </c>
    </row>
    <row r="86" spans="1:4" ht="15.75" x14ac:dyDescent="0.2">
      <c r="A86" s="341"/>
      <c r="B86" s="361"/>
      <c r="C86" s="342"/>
      <c r="D86" s="366"/>
    </row>
    <row r="87" spans="1:4" ht="60" x14ac:dyDescent="0.2">
      <c r="A87" s="341" t="s">
        <v>499</v>
      </c>
      <c r="B87" s="361">
        <v>0</v>
      </c>
      <c r="C87" s="342">
        <v>1</v>
      </c>
      <c r="D87" s="371">
        <v>0.2</v>
      </c>
    </row>
    <row r="88" spans="1:4" x14ac:dyDescent="0.2">
      <c r="A88" s="136"/>
      <c r="B88" s="359"/>
      <c r="C88" s="216"/>
      <c r="D88" s="364"/>
    </row>
    <row r="89" spans="1:4" ht="135" x14ac:dyDescent="0.2">
      <c r="A89" s="136" t="s">
        <v>838</v>
      </c>
      <c r="B89" s="359">
        <v>0</v>
      </c>
      <c r="C89" s="216">
        <v>1</v>
      </c>
      <c r="D89" s="374">
        <v>0.15</v>
      </c>
    </row>
    <row r="90" spans="1:4" x14ac:dyDescent="0.2">
      <c r="A90" s="136"/>
      <c r="B90" s="359"/>
      <c r="C90" s="216"/>
      <c r="D90" s="364"/>
    </row>
    <row r="91" spans="1:4" ht="93.75" customHeight="1" x14ac:dyDescent="0.2">
      <c r="A91" s="278" t="s">
        <v>500</v>
      </c>
      <c r="B91" s="359">
        <v>0</v>
      </c>
      <c r="C91" s="279">
        <v>1</v>
      </c>
      <c r="D91" s="364">
        <v>0.01</v>
      </c>
    </row>
    <row r="92" spans="1:4" x14ac:dyDescent="0.2">
      <c r="A92" s="136"/>
      <c r="B92" s="359"/>
      <c r="C92" s="216"/>
      <c r="D92" s="364"/>
    </row>
    <row r="93" spans="1:4" ht="136.5" x14ac:dyDescent="0.2">
      <c r="A93" s="136" t="s">
        <v>841</v>
      </c>
      <c r="B93" s="359">
        <v>0</v>
      </c>
      <c r="C93" s="216">
        <v>1</v>
      </c>
      <c r="D93" s="364">
        <v>0.05</v>
      </c>
    </row>
    <row r="94" spans="1:4" x14ac:dyDescent="0.2">
      <c r="A94" s="136"/>
      <c r="B94" s="359"/>
      <c r="C94" s="216"/>
      <c r="D94" s="364"/>
    </row>
    <row r="95" spans="1:4" ht="45" x14ac:dyDescent="0.2">
      <c r="A95" s="136" t="s">
        <v>501</v>
      </c>
      <c r="B95" s="359">
        <v>0</v>
      </c>
      <c r="C95" s="216">
        <v>1</v>
      </c>
      <c r="D95" s="364">
        <v>0.01</v>
      </c>
    </row>
    <row r="96" spans="1:4" x14ac:dyDescent="0.2">
      <c r="A96" s="136"/>
      <c r="B96" s="359"/>
      <c r="C96" s="216"/>
      <c r="D96" s="364"/>
    </row>
    <row r="97" spans="1:4" ht="60" x14ac:dyDescent="0.2">
      <c r="A97" s="136" t="s">
        <v>502</v>
      </c>
      <c r="B97" s="359">
        <v>0</v>
      </c>
      <c r="C97" s="216">
        <v>1</v>
      </c>
      <c r="D97" s="364">
        <v>0.33</v>
      </c>
    </row>
    <row r="98" spans="1:4" x14ac:dyDescent="0.2">
      <c r="A98" s="137"/>
      <c r="B98" s="18"/>
      <c r="C98" s="220"/>
      <c r="D98" s="137"/>
    </row>
  </sheetData>
  <mergeCells count="1">
    <mergeCell ref="A84:D84"/>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topLeftCell="A6" zoomScaleNormal="100" workbookViewId="0">
      <selection activeCell="K10" sqref="K10"/>
    </sheetView>
  </sheetViews>
  <sheetFormatPr baseColWidth="10" defaultRowHeight="15" x14ac:dyDescent="0.2"/>
  <cols>
    <col min="1" max="4" width="11.42578125" style="45"/>
    <col min="5" max="5" width="11" style="45" customWidth="1"/>
    <col min="6" max="6" width="14.7109375" style="45" customWidth="1"/>
    <col min="7" max="7" width="19.7109375" style="45" customWidth="1"/>
    <col min="8" max="9" width="15.42578125" style="45" bestFit="1" customWidth="1"/>
    <col min="10" max="10" width="6.5703125" style="45" customWidth="1"/>
    <col min="11" max="11" width="16" style="45" customWidth="1"/>
    <col min="12" max="12" width="8.85546875" style="45" customWidth="1"/>
    <col min="13" max="13" width="23.42578125" style="45" customWidth="1"/>
    <col min="14" max="14" width="13.28515625" style="45" customWidth="1"/>
    <col min="15" max="16384" width="11.42578125" style="45"/>
  </cols>
  <sheetData>
    <row r="2" spans="1:13" ht="20.100000000000001" customHeight="1" x14ac:dyDescent="0.2">
      <c r="A2" s="581" t="s">
        <v>712</v>
      </c>
      <c r="B2" s="581"/>
      <c r="C2" s="581"/>
      <c r="D2" s="581"/>
      <c r="E2" s="581"/>
      <c r="F2" s="581"/>
      <c r="G2" s="581"/>
    </row>
    <row r="3" spans="1:13" ht="20.100000000000001" customHeight="1" x14ac:dyDescent="0.2">
      <c r="A3" s="581" t="s">
        <v>713</v>
      </c>
      <c r="B3" s="581"/>
      <c r="C3" s="581"/>
      <c r="D3" s="581"/>
      <c r="E3" s="581"/>
      <c r="F3" s="581"/>
      <c r="G3" s="581"/>
      <c r="I3" s="233"/>
    </row>
    <row r="4" spans="1:13" x14ac:dyDescent="0.2">
      <c r="A4" s="45" t="s">
        <v>0</v>
      </c>
    </row>
    <row r="5" spans="1:13" x14ac:dyDescent="0.2">
      <c r="A5" s="45" t="s">
        <v>0</v>
      </c>
    </row>
    <row r="6" spans="1:13" ht="30" customHeight="1" x14ac:dyDescent="0.25">
      <c r="A6" s="529" t="s">
        <v>425</v>
      </c>
      <c r="B6" s="529"/>
      <c r="C6" s="529"/>
      <c r="D6" s="529"/>
      <c r="E6" s="529"/>
      <c r="F6" s="529"/>
      <c r="G6" s="529"/>
    </row>
    <row r="7" spans="1:13" x14ac:dyDescent="0.2">
      <c r="A7" s="45" t="s">
        <v>0</v>
      </c>
    </row>
    <row r="8" spans="1:13" ht="81" customHeight="1" x14ac:dyDescent="0.2">
      <c r="A8" s="542" t="s">
        <v>855</v>
      </c>
      <c r="B8" s="542"/>
      <c r="C8" s="542"/>
      <c r="D8" s="542"/>
      <c r="E8" s="542"/>
      <c r="F8" s="542"/>
      <c r="G8" s="542"/>
      <c r="J8" s="334" t="s">
        <v>0</v>
      </c>
    </row>
    <row r="9" spans="1:13" ht="15.75" customHeight="1" x14ac:dyDescent="0.25">
      <c r="H9" s="199">
        <v>2021</v>
      </c>
      <c r="I9" s="199">
        <v>2022</v>
      </c>
      <c r="K9" s="490" t="s">
        <v>1023</v>
      </c>
      <c r="M9" s="490" t="s">
        <v>1024</v>
      </c>
    </row>
    <row r="10" spans="1:13" ht="48" customHeight="1" x14ac:dyDescent="0.2">
      <c r="A10" s="588" t="s">
        <v>1006</v>
      </c>
      <c r="B10" s="588"/>
      <c r="C10" s="588"/>
      <c r="D10" s="588"/>
      <c r="E10" s="588"/>
      <c r="F10" s="588"/>
      <c r="G10" s="588"/>
      <c r="H10" s="223">
        <f>ROUND((3500*36308),-3)</f>
        <v>127078000</v>
      </c>
      <c r="I10" s="224">
        <f>ROUND((3500*38004),-3)</f>
        <v>133014000</v>
      </c>
      <c r="K10" s="488">
        <f>H10/12</f>
        <v>10589833.333333334</v>
      </c>
      <c r="M10" s="489">
        <f>I10/12</f>
        <v>11084500</v>
      </c>
    </row>
    <row r="11" spans="1:13" ht="30" customHeight="1" x14ac:dyDescent="0.2">
      <c r="A11" s="542" t="s">
        <v>424</v>
      </c>
      <c r="B11" s="542"/>
      <c r="C11" s="542"/>
      <c r="D11" s="542"/>
      <c r="E11" s="542"/>
      <c r="F11" s="542"/>
      <c r="G11" s="542"/>
      <c r="H11" s="333"/>
      <c r="I11" s="333"/>
    </row>
    <row r="12" spans="1:13" ht="45" customHeight="1" x14ac:dyDescent="0.2">
      <c r="A12" s="545" t="s">
        <v>422</v>
      </c>
      <c r="B12" s="545"/>
      <c r="C12" s="545"/>
      <c r="D12" s="545"/>
      <c r="E12" s="545"/>
      <c r="F12" s="545"/>
      <c r="G12" s="545"/>
      <c r="H12" s="93"/>
    </row>
    <row r="13" spans="1:13" ht="15.75" x14ac:dyDescent="0.25">
      <c r="A13" s="589" t="s">
        <v>423</v>
      </c>
      <c r="B13" s="589"/>
      <c r="C13" s="589"/>
      <c r="D13" s="589"/>
      <c r="H13" s="199">
        <v>2021</v>
      </c>
      <c r="I13" s="199">
        <v>2022</v>
      </c>
    </row>
    <row r="14" spans="1:13" ht="54" customHeight="1" x14ac:dyDescent="0.2">
      <c r="A14" s="542" t="s">
        <v>856</v>
      </c>
      <c r="B14" s="542"/>
      <c r="C14" s="542"/>
      <c r="D14" s="542"/>
      <c r="E14" s="542"/>
      <c r="F14" s="542"/>
      <c r="G14" s="542"/>
      <c r="H14" s="223">
        <f>ROUND((3500*36308),-3)</f>
        <v>127078000</v>
      </c>
      <c r="I14" s="224">
        <f>ROUND((3500*38004),-3)</f>
        <v>133014000</v>
      </c>
    </row>
    <row r="15" spans="1:13" ht="70.5" customHeight="1" x14ac:dyDescent="0.2">
      <c r="A15" s="587" t="s">
        <v>863</v>
      </c>
      <c r="B15" s="587"/>
      <c r="C15" s="587"/>
      <c r="D15" s="587"/>
      <c r="E15" s="587"/>
      <c r="F15" s="587"/>
      <c r="G15" s="587"/>
      <c r="H15" s="223">
        <f>ROUND((3500*36308),-3)</f>
        <v>127078000</v>
      </c>
      <c r="I15" s="224">
        <f>ROUND((3500*38004),-3)</f>
        <v>133014000</v>
      </c>
      <c r="K15" s="233" t="s">
        <v>0</v>
      </c>
    </row>
    <row r="16" spans="1:13" ht="15.75" x14ac:dyDescent="0.2">
      <c r="A16" s="586" t="s">
        <v>0</v>
      </c>
      <c r="B16" s="586"/>
      <c r="C16" s="586"/>
      <c r="D16" s="586"/>
      <c r="E16" s="586"/>
      <c r="F16" s="586"/>
      <c r="G16" s="586"/>
    </row>
    <row r="17" spans="1:13" ht="111.75" customHeight="1" x14ac:dyDescent="0.2">
      <c r="A17" s="584" t="s">
        <v>714</v>
      </c>
      <c r="B17" s="584"/>
      <c r="C17" s="584"/>
      <c r="D17" s="584"/>
      <c r="E17" s="584"/>
      <c r="F17" s="584"/>
      <c r="G17" s="585"/>
    </row>
    <row r="18" spans="1:13" ht="15.75" x14ac:dyDescent="0.2">
      <c r="A18" s="586" t="s">
        <v>0</v>
      </c>
      <c r="B18" s="586"/>
      <c r="C18" s="586"/>
      <c r="D18" s="586"/>
      <c r="E18" s="586"/>
      <c r="F18" s="586"/>
      <c r="G18" s="586"/>
    </row>
    <row r="19" spans="1:13" ht="81" customHeight="1" x14ac:dyDescent="0.2">
      <c r="A19" s="583" t="s">
        <v>711</v>
      </c>
      <c r="B19" s="583"/>
      <c r="C19" s="583"/>
      <c r="D19" s="583"/>
      <c r="E19" s="583"/>
      <c r="F19" s="583"/>
      <c r="G19" s="583"/>
    </row>
    <row r="20" spans="1:13" x14ac:dyDescent="0.2">
      <c r="K20" s="472" t="s">
        <v>1027</v>
      </c>
      <c r="L20" s="472"/>
      <c r="M20" s="472" t="s">
        <v>1027</v>
      </c>
    </row>
    <row r="21" spans="1:13" ht="68.25" customHeight="1" x14ac:dyDescent="0.2">
      <c r="A21" s="582" t="s">
        <v>857</v>
      </c>
      <c r="B21" s="582"/>
      <c r="C21" s="582"/>
      <c r="D21" s="582"/>
      <c r="E21" s="582"/>
      <c r="F21" s="582"/>
      <c r="G21" s="582"/>
      <c r="H21" s="281">
        <f>ROUND((4000*36308),-3)</f>
        <v>145232000</v>
      </c>
      <c r="I21" s="282">
        <f>ROUND((4000*38004),-3)</f>
        <v>152016000</v>
      </c>
      <c r="K21" s="488">
        <f>H21/12</f>
        <v>12102666.666666666</v>
      </c>
      <c r="M21" s="489">
        <f>I21/12</f>
        <v>12668000</v>
      </c>
    </row>
    <row r="24" spans="1:13" x14ac:dyDescent="0.2">
      <c r="H24" s="233"/>
      <c r="I24" s="233"/>
    </row>
  </sheetData>
  <mergeCells count="15">
    <mergeCell ref="A2:G2"/>
    <mergeCell ref="A8:G8"/>
    <mergeCell ref="A21:G21"/>
    <mergeCell ref="A19:G19"/>
    <mergeCell ref="A3:G3"/>
    <mergeCell ref="A17:G17"/>
    <mergeCell ref="A18:G18"/>
    <mergeCell ref="A14:G14"/>
    <mergeCell ref="A16:G16"/>
    <mergeCell ref="A6:G6"/>
    <mergeCell ref="A15:G15"/>
    <mergeCell ref="A11:G11"/>
    <mergeCell ref="A12:G12"/>
    <mergeCell ref="A10:G10"/>
    <mergeCell ref="A13:D13"/>
  </mergeCells>
  <hyperlinks>
    <hyperlink ref="A21" r:id="rId1" location="4" display="http://www.secretariasenado.gov.co/senado/basedoc/ley_2010_2019.html - 4"/>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topLeftCell="A22" workbookViewId="0">
      <selection activeCell="K30" sqref="K30"/>
    </sheetView>
  </sheetViews>
  <sheetFormatPr baseColWidth="10" defaultRowHeight="15" x14ac:dyDescent="0.2"/>
  <cols>
    <col min="1" max="1" width="11.42578125" style="45"/>
    <col min="2" max="2" width="13.7109375" style="45" customWidth="1"/>
    <col min="3" max="3" width="11.42578125" style="45"/>
    <col min="4" max="4" width="11.5703125" style="45" bestFit="1" customWidth="1"/>
    <col min="5" max="5" width="11.42578125" style="45"/>
    <col min="6" max="6" width="12.42578125" style="45" bestFit="1" customWidth="1"/>
    <col min="7" max="7" width="11.42578125" style="45"/>
    <col min="8" max="8" width="16" style="45" bestFit="1" customWidth="1"/>
    <col min="9" max="9" width="17.42578125" style="106" bestFit="1" customWidth="1"/>
    <col min="10" max="10" width="17.85546875" style="45" customWidth="1"/>
    <col min="11" max="11" width="11.42578125" style="45"/>
    <col min="12" max="12" width="17.42578125" style="45" bestFit="1" customWidth="1"/>
    <col min="13" max="16384" width="11.42578125" style="45"/>
  </cols>
  <sheetData>
    <row r="2" spans="1:12" ht="15.75" x14ac:dyDescent="0.25">
      <c r="A2" s="546" t="s">
        <v>515</v>
      </c>
      <c r="B2" s="546"/>
      <c r="C2" s="546"/>
      <c r="D2" s="546"/>
      <c r="E2" s="546"/>
      <c r="F2" s="546"/>
      <c r="G2" s="546"/>
      <c r="H2" s="546"/>
      <c r="J2" s="478" t="s">
        <v>0</v>
      </c>
      <c r="K2" s="478"/>
    </row>
    <row r="3" spans="1:12" x14ac:dyDescent="0.2">
      <c r="J3" s="478" t="s">
        <v>0</v>
      </c>
      <c r="K3" s="478"/>
    </row>
    <row r="4" spans="1:12" ht="48.75" customHeight="1" x14ac:dyDescent="0.2">
      <c r="A4" s="533" t="s">
        <v>516</v>
      </c>
      <c r="B4" s="533"/>
      <c r="C4" s="533"/>
      <c r="D4" s="533"/>
      <c r="E4" s="533"/>
      <c r="F4" s="533"/>
      <c r="G4" s="533"/>
      <c r="H4" s="533"/>
    </row>
    <row r="6" spans="1:12" ht="30" customHeight="1" x14ac:dyDescent="0.2">
      <c r="A6" s="528" t="s">
        <v>518</v>
      </c>
      <c r="B6" s="528"/>
      <c r="C6" s="528"/>
      <c r="D6" s="528"/>
      <c r="E6" s="528"/>
      <c r="F6" s="528"/>
      <c r="G6" s="528"/>
      <c r="H6" s="528"/>
    </row>
    <row r="8" spans="1:12" ht="30" customHeight="1" x14ac:dyDescent="0.2">
      <c r="A8" s="597" t="s">
        <v>517</v>
      </c>
      <c r="B8" s="598"/>
      <c r="C8" s="598"/>
      <c r="D8" s="598"/>
      <c r="E8" s="598"/>
      <c r="F8" s="598"/>
      <c r="G8" s="598"/>
      <c r="H8" s="598"/>
    </row>
    <row r="10" spans="1:12" ht="125.25" customHeight="1" x14ac:dyDescent="0.25">
      <c r="A10" s="542" t="s">
        <v>1059</v>
      </c>
      <c r="B10" s="542"/>
      <c r="C10" s="542"/>
      <c r="D10" s="542"/>
      <c r="E10" s="542"/>
      <c r="F10" s="542"/>
      <c r="G10" s="542"/>
      <c r="H10" s="542"/>
      <c r="J10" s="283" t="s">
        <v>0</v>
      </c>
      <c r="L10" s="469" t="s">
        <v>832</v>
      </c>
    </row>
    <row r="11" spans="1:12" ht="15.75" x14ac:dyDescent="0.25">
      <c r="A11" s="575" t="s">
        <v>1061</v>
      </c>
      <c r="B11" s="575"/>
      <c r="C11" s="575"/>
      <c r="D11" s="575"/>
      <c r="E11" s="575"/>
      <c r="F11" s="575"/>
      <c r="G11" s="596">
        <f>92000*36308</f>
        <v>3340336000</v>
      </c>
      <c r="H11" s="596"/>
      <c r="L11" s="284">
        <f>92000*36308</f>
        <v>3340336000</v>
      </c>
    </row>
    <row r="13" spans="1:12" ht="64.5" customHeight="1" x14ac:dyDescent="0.2">
      <c r="A13" s="542" t="s">
        <v>833</v>
      </c>
      <c r="B13" s="542"/>
      <c r="C13" s="542"/>
      <c r="D13" s="542"/>
      <c r="E13" s="542"/>
      <c r="F13" s="542"/>
      <c r="G13" s="542"/>
      <c r="H13" s="542"/>
      <c r="J13" s="333" t="s">
        <v>0</v>
      </c>
    </row>
    <row r="14" spans="1:12" ht="15.75" x14ac:dyDescent="0.25">
      <c r="A14" s="575" t="s">
        <v>1060</v>
      </c>
      <c r="B14" s="575"/>
      <c r="C14" s="575"/>
      <c r="D14" s="575"/>
      <c r="E14" s="575"/>
      <c r="F14" s="575"/>
      <c r="G14" s="595" t="s">
        <v>1062</v>
      </c>
      <c r="H14" s="595"/>
    </row>
    <row r="17" spans="1:9" ht="15.75" x14ac:dyDescent="0.25">
      <c r="A17" s="544" t="s">
        <v>607</v>
      </c>
      <c r="B17" s="544"/>
      <c r="C17" s="544"/>
      <c r="D17" s="544"/>
      <c r="E17" s="544"/>
      <c r="F17" s="544"/>
      <c r="G17" s="544"/>
    </row>
    <row r="19" spans="1:9" ht="51" customHeight="1" x14ac:dyDescent="0.2">
      <c r="A19" s="593" t="s">
        <v>834</v>
      </c>
      <c r="B19" s="593"/>
      <c r="C19" s="593"/>
      <c r="D19" s="593"/>
      <c r="E19" s="593"/>
      <c r="F19" s="593"/>
      <c r="G19" s="593"/>
      <c r="H19" s="593"/>
    </row>
    <row r="20" spans="1:9" ht="9.9499999999999993" customHeight="1" x14ac:dyDescent="0.2">
      <c r="A20" s="263"/>
      <c r="B20" s="263"/>
      <c r="C20" s="263"/>
      <c r="D20" s="263"/>
      <c r="E20" s="263"/>
      <c r="F20" s="263"/>
      <c r="G20" s="263"/>
      <c r="H20" s="263"/>
    </row>
    <row r="21" spans="1:9" ht="114.75" customHeight="1" x14ac:dyDescent="0.2">
      <c r="A21" s="588" t="s">
        <v>860</v>
      </c>
      <c r="B21" s="588"/>
      <c r="C21" s="588"/>
      <c r="D21" s="588"/>
      <c r="E21" s="588"/>
      <c r="F21" s="588"/>
      <c r="G21" s="588"/>
      <c r="H21" s="588"/>
    </row>
    <row r="22" spans="1:9" ht="15.75" x14ac:dyDescent="0.25">
      <c r="A22" s="544" t="s">
        <v>1063</v>
      </c>
      <c r="B22" s="544"/>
      <c r="C22" s="79"/>
      <c r="D22" s="79"/>
      <c r="E22" s="79"/>
      <c r="F22" s="79"/>
      <c r="G22" s="79"/>
    </row>
    <row r="23" spans="1:9" ht="15.75" x14ac:dyDescent="0.25">
      <c r="A23" s="575" t="s">
        <v>1064</v>
      </c>
      <c r="B23" s="575"/>
      <c r="C23" s="575"/>
      <c r="D23" s="590" t="s">
        <v>606</v>
      </c>
      <c r="E23" s="590"/>
      <c r="F23" s="591">
        <f>100000*36308</f>
        <v>3630800000</v>
      </c>
      <c r="G23" s="591"/>
      <c r="I23" s="106" t="s">
        <v>0</v>
      </c>
    </row>
    <row r="25" spans="1:9" ht="88.5" customHeight="1" x14ac:dyDescent="0.2">
      <c r="A25" s="594" t="s">
        <v>858</v>
      </c>
      <c r="B25" s="594"/>
      <c r="C25" s="594"/>
      <c r="D25" s="594"/>
      <c r="E25" s="594"/>
      <c r="F25" s="594"/>
      <c r="G25" s="594"/>
      <c r="H25" s="594"/>
    </row>
    <row r="26" spans="1:9" ht="15.75" x14ac:dyDescent="0.25">
      <c r="A26" s="592" t="s">
        <v>1063</v>
      </c>
      <c r="B26" s="592"/>
      <c r="C26" s="335"/>
      <c r="D26" s="75"/>
      <c r="E26" s="75"/>
      <c r="F26" s="75"/>
      <c r="G26" s="75"/>
      <c r="H26" s="75"/>
    </row>
    <row r="27" spans="1:9" ht="15.75" x14ac:dyDescent="0.25">
      <c r="A27" s="592" t="s">
        <v>1065</v>
      </c>
      <c r="B27" s="592"/>
      <c r="C27" s="592"/>
      <c r="D27" s="75"/>
      <c r="E27" s="75"/>
      <c r="F27" s="75"/>
      <c r="G27" s="75"/>
      <c r="H27" s="336">
        <v>908526</v>
      </c>
    </row>
    <row r="28" spans="1:9" ht="15.75" x14ac:dyDescent="0.25">
      <c r="A28" s="285"/>
      <c r="B28" s="285" t="s">
        <v>0</v>
      </c>
      <c r="C28" s="285"/>
      <c r="D28" s="75"/>
      <c r="E28" s="75"/>
      <c r="F28" s="75"/>
      <c r="G28" s="75"/>
      <c r="H28" s="336"/>
    </row>
    <row r="29" spans="1:9" ht="15.75" x14ac:dyDescent="0.25">
      <c r="A29" s="573" t="s">
        <v>608</v>
      </c>
      <c r="B29" s="573"/>
      <c r="C29" s="573"/>
      <c r="D29" s="270">
        <v>5000</v>
      </c>
      <c r="E29" s="280"/>
      <c r="F29" s="280"/>
      <c r="G29" s="280"/>
      <c r="H29" s="402">
        <f>D29*H27</f>
        <v>4542630000</v>
      </c>
    </row>
    <row r="30" spans="1:9" ht="15.75" x14ac:dyDescent="0.25">
      <c r="A30" s="285"/>
      <c r="B30" s="285"/>
      <c r="C30" s="285"/>
      <c r="D30" s="325"/>
      <c r="E30" s="75"/>
      <c r="F30" s="75"/>
      <c r="G30" s="75"/>
      <c r="H30" s="336"/>
    </row>
    <row r="31" spans="1:9" ht="15.75" x14ac:dyDescent="0.25">
      <c r="A31" s="573" t="s">
        <v>609</v>
      </c>
      <c r="B31" s="573"/>
      <c r="C31" s="573"/>
      <c r="D31" s="270">
        <v>3000</v>
      </c>
      <c r="E31" s="280"/>
      <c r="F31" s="280"/>
      <c r="G31" s="280"/>
      <c r="H31" s="402">
        <f>D31*H27</f>
        <v>2725578000</v>
      </c>
      <c r="I31" s="394" t="s">
        <v>0</v>
      </c>
    </row>
    <row r="32" spans="1:9" x14ac:dyDescent="0.2">
      <c r="A32" s="75"/>
      <c r="B32" s="75"/>
      <c r="C32" s="75"/>
      <c r="D32" s="75"/>
      <c r="E32" s="75"/>
      <c r="F32" s="75"/>
      <c r="G32" s="76"/>
      <c r="H32" s="76"/>
    </row>
    <row r="33" spans="8:8" x14ac:dyDescent="0.2">
      <c r="H33" s="233"/>
    </row>
  </sheetData>
  <mergeCells count="22">
    <mergeCell ref="A13:H13"/>
    <mergeCell ref="G14:H14"/>
    <mergeCell ref="G11:H11"/>
    <mergeCell ref="A4:H4"/>
    <mergeCell ref="A2:H2"/>
    <mergeCell ref="A6:H6"/>
    <mergeCell ref="A8:H8"/>
    <mergeCell ref="A10:H10"/>
    <mergeCell ref="A11:F11"/>
    <mergeCell ref="A14:F14"/>
    <mergeCell ref="A27:C27"/>
    <mergeCell ref="A29:C29"/>
    <mergeCell ref="A31:C31"/>
    <mergeCell ref="A19:H19"/>
    <mergeCell ref="A25:H25"/>
    <mergeCell ref="A21:H21"/>
    <mergeCell ref="A26:B26"/>
    <mergeCell ref="A17:G17"/>
    <mergeCell ref="A23:C23"/>
    <mergeCell ref="D23:E23"/>
    <mergeCell ref="F23:G23"/>
    <mergeCell ref="A22:B22"/>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5"/>
  <sheetViews>
    <sheetView topLeftCell="A24" zoomScale="140" zoomScaleNormal="140" workbookViewId="0">
      <selection activeCell="J31" sqref="J31"/>
    </sheetView>
  </sheetViews>
  <sheetFormatPr baseColWidth="10" defaultRowHeight="15" x14ac:dyDescent="0.2"/>
  <cols>
    <col min="1" max="16384" width="11.42578125" style="45"/>
  </cols>
  <sheetData>
    <row r="4" spans="1:7" ht="15.75" x14ac:dyDescent="0.25">
      <c r="A4" s="546" t="s">
        <v>417</v>
      </c>
      <c r="B4" s="546"/>
      <c r="C4" s="546"/>
      <c r="D4" s="546"/>
      <c r="E4" s="546"/>
      <c r="F4" s="546"/>
      <c r="G4" s="546"/>
    </row>
    <row r="5" spans="1:7" ht="15.75" x14ac:dyDescent="0.25">
      <c r="A5" s="92"/>
      <c r="B5" s="92"/>
      <c r="C5" s="92"/>
      <c r="D5" s="92"/>
      <c r="E5" s="92"/>
      <c r="F5" s="92"/>
      <c r="G5" s="92"/>
    </row>
    <row r="6" spans="1:7" ht="30" customHeight="1" x14ac:dyDescent="0.2">
      <c r="A6" s="605" t="s">
        <v>418</v>
      </c>
      <c r="B6" s="605"/>
      <c r="C6" s="605"/>
      <c r="D6" s="605"/>
      <c r="E6" s="605"/>
      <c r="F6" s="605"/>
      <c r="G6" s="605"/>
    </row>
    <row r="7" spans="1:7" ht="78.75" customHeight="1" x14ac:dyDescent="0.2">
      <c r="A7" s="542" t="s">
        <v>421</v>
      </c>
      <c r="B7" s="542"/>
      <c r="C7" s="542"/>
      <c r="D7" s="542"/>
      <c r="E7" s="542"/>
      <c r="F7" s="542"/>
      <c r="G7" s="542"/>
    </row>
    <row r="8" spans="1:7" ht="12" customHeight="1" x14ac:dyDescent="0.2">
      <c r="A8" s="45" t="s">
        <v>0</v>
      </c>
    </row>
    <row r="9" spans="1:7" ht="30" customHeight="1" x14ac:dyDescent="0.2">
      <c r="A9" s="606" t="s">
        <v>420</v>
      </c>
      <c r="B9" s="606"/>
      <c r="C9" s="606"/>
      <c r="D9" s="606"/>
      <c r="E9" s="606"/>
      <c r="F9" s="606"/>
      <c r="G9" s="606"/>
    </row>
    <row r="10" spans="1:7" x14ac:dyDescent="0.2">
      <c r="A10" s="45" t="s">
        <v>0</v>
      </c>
    </row>
    <row r="11" spans="1:7" ht="30" customHeight="1" x14ac:dyDescent="0.2">
      <c r="A11" s="607" t="s">
        <v>419</v>
      </c>
      <c r="B11" s="607"/>
      <c r="C11" s="607"/>
      <c r="D11" s="607"/>
      <c r="E11" s="607"/>
      <c r="F11" s="607"/>
      <c r="G11" s="607"/>
    </row>
    <row r="14" spans="1:7" ht="15.75" x14ac:dyDescent="0.25">
      <c r="A14" s="546" t="s">
        <v>416</v>
      </c>
      <c r="B14" s="546"/>
      <c r="C14" s="546"/>
      <c r="D14" s="546"/>
      <c r="E14" s="546"/>
      <c r="F14" s="546"/>
      <c r="G14" s="546"/>
    </row>
    <row r="15" spans="1:7" ht="30" customHeight="1" x14ac:dyDescent="0.2">
      <c r="A15" s="609" t="s">
        <v>415</v>
      </c>
      <c r="B15" s="609"/>
      <c r="C15" s="609"/>
      <c r="D15" s="609"/>
      <c r="E15" s="609"/>
      <c r="F15" s="609"/>
      <c r="G15" s="609"/>
    </row>
    <row r="16" spans="1:7" ht="12" customHeight="1" x14ac:dyDescent="0.2">
      <c r="A16" s="94"/>
      <c r="B16" s="94"/>
      <c r="C16" s="94"/>
      <c r="D16" s="94"/>
      <c r="E16" s="94"/>
      <c r="F16" s="94"/>
      <c r="G16" s="94"/>
    </row>
    <row r="17" spans="1:9" ht="61.5" customHeight="1" x14ac:dyDescent="0.2">
      <c r="A17" s="528" t="s">
        <v>849</v>
      </c>
      <c r="B17" s="528"/>
      <c r="C17" s="528"/>
      <c r="D17" s="528"/>
      <c r="E17" s="528"/>
      <c r="F17" s="528"/>
      <c r="G17" s="528"/>
    </row>
    <row r="18" spans="1:9" ht="12" customHeight="1" x14ac:dyDescent="0.2">
      <c r="A18" s="91"/>
      <c r="B18" s="91"/>
      <c r="C18" s="91"/>
      <c r="D18" s="91"/>
      <c r="E18" s="91"/>
      <c r="F18" s="91"/>
      <c r="G18" s="91"/>
    </row>
    <row r="19" spans="1:9" ht="30" customHeight="1" x14ac:dyDescent="0.2">
      <c r="A19" s="608" t="s">
        <v>715</v>
      </c>
      <c r="B19" s="608"/>
      <c r="C19" s="608"/>
      <c r="D19" s="608"/>
      <c r="E19" s="608"/>
      <c r="F19" s="608"/>
      <c r="G19" s="608"/>
    </row>
    <row r="21" spans="1:9" ht="30" customHeight="1" x14ac:dyDescent="0.2">
      <c r="A21" s="607" t="s">
        <v>419</v>
      </c>
      <c r="B21" s="607"/>
      <c r="C21" s="607"/>
      <c r="D21" s="607"/>
      <c r="E21" s="607"/>
      <c r="F21" s="607"/>
      <c r="G21" s="607"/>
    </row>
    <row r="23" spans="1:9" ht="36.75" customHeight="1" x14ac:dyDescent="0.2">
      <c r="A23" s="603" t="s">
        <v>716</v>
      </c>
      <c r="B23" s="603"/>
      <c r="C23" s="603"/>
      <c r="D23" s="603"/>
      <c r="E23" s="603"/>
      <c r="F23" s="603"/>
      <c r="G23" s="603"/>
    </row>
    <row r="25" spans="1:9" ht="37.5" customHeight="1" x14ac:dyDescent="0.2">
      <c r="A25" s="604" t="s">
        <v>717</v>
      </c>
      <c r="B25" s="604"/>
      <c r="C25" s="604"/>
      <c r="D25" s="604"/>
      <c r="E25" s="604"/>
      <c r="F25" s="604"/>
      <c r="G25" s="604"/>
    </row>
    <row r="27" spans="1:9" ht="15.75" x14ac:dyDescent="0.25">
      <c r="A27" s="574" t="s">
        <v>1066</v>
      </c>
      <c r="B27" s="574"/>
      <c r="C27" s="574"/>
      <c r="D27" s="574"/>
      <c r="E27" s="574"/>
      <c r="F27" s="574"/>
      <c r="G27" s="574"/>
      <c r="H27" s="574"/>
      <c r="I27" s="574"/>
    </row>
    <row r="28" spans="1:9" ht="69.75" customHeight="1" x14ac:dyDescent="0.2">
      <c r="A28" s="599" t="s">
        <v>1067</v>
      </c>
      <c r="B28" s="599"/>
      <c r="C28" s="599"/>
      <c r="D28" s="599"/>
      <c r="E28" s="599"/>
      <c r="F28" s="599"/>
      <c r="G28" s="599"/>
      <c r="H28" s="599"/>
      <c r="I28" s="599"/>
    </row>
    <row r="29" spans="1:9" ht="15.75" x14ac:dyDescent="0.25">
      <c r="A29"/>
      <c r="B29"/>
      <c r="C29"/>
      <c r="D29"/>
      <c r="E29"/>
      <c r="F29"/>
      <c r="G29"/>
      <c r="H29"/>
      <c r="I29"/>
    </row>
    <row r="30" spans="1:9" ht="15.75" x14ac:dyDescent="0.25">
      <c r="A30" s="574" t="s">
        <v>1068</v>
      </c>
      <c r="B30" s="574"/>
      <c r="C30" s="574"/>
      <c r="D30" s="574"/>
      <c r="E30" s="574"/>
      <c r="F30" s="574"/>
      <c r="G30" s="574"/>
      <c r="H30" s="574"/>
      <c r="I30" s="574"/>
    </row>
    <row r="31" spans="1:9" ht="84" customHeight="1" x14ac:dyDescent="0.2">
      <c r="A31" s="600" t="s">
        <v>1069</v>
      </c>
      <c r="B31" s="600"/>
      <c r="C31" s="600"/>
      <c r="D31" s="600"/>
      <c r="E31" s="600"/>
      <c r="F31" s="600"/>
      <c r="G31" s="600"/>
      <c r="H31" s="600"/>
      <c r="I31" s="600"/>
    </row>
    <row r="33" spans="1:9" x14ac:dyDescent="0.2">
      <c r="A33" s="602" t="s">
        <v>1072</v>
      </c>
      <c r="B33" s="602"/>
      <c r="C33" s="602"/>
      <c r="D33" s="602"/>
      <c r="E33" s="602"/>
      <c r="F33" s="602"/>
      <c r="G33" s="602"/>
      <c r="H33" s="602"/>
      <c r="I33" s="602"/>
    </row>
    <row r="34" spans="1:9" ht="30" customHeight="1" x14ac:dyDescent="0.2">
      <c r="A34" s="601" t="s">
        <v>1071</v>
      </c>
      <c r="B34" s="601"/>
      <c r="C34" s="601"/>
      <c r="D34" s="601"/>
      <c r="E34" s="601"/>
      <c r="F34" s="601"/>
      <c r="G34" s="601"/>
      <c r="H34" s="601"/>
      <c r="I34" s="601"/>
    </row>
    <row r="35" spans="1:9" ht="113.25" customHeight="1" x14ac:dyDescent="0.2">
      <c r="A35" s="542" t="s">
        <v>1070</v>
      </c>
      <c r="B35" s="542"/>
      <c r="C35" s="542"/>
      <c r="D35" s="542"/>
      <c r="E35" s="542"/>
      <c r="F35" s="542"/>
      <c r="G35" s="542"/>
      <c r="H35" s="542"/>
      <c r="I35" s="542"/>
    </row>
  </sheetData>
  <mergeCells count="19">
    <mergeCell ref="A23:G23"/>
    <mergeCell ref="A25:G25"/>
    <mergeCell ref="A4:G4"/>
    <mergeCell ref="A7:G7"/>
    <mergeCell ref="A6:G6"/>
    <mergeCell ref="A9:G9"/>
    <mergeCell ref="A11:G11"/>
    <mergeCell ref="A19:G19"/>
    <mergeCell ref="A21:G21"/>
    <mergeCell ref="A15:G15"/>
    <mergeCell ref="A14:G14"/>
    <mergeCell ref="A17:G17"/>
    <mergeCell ref="A27:I27"/>
    <mergeCell ref="A28:I28"/>
    <mergeCell ref="A30:I30"/>
    <mergeCell ref="A31:I31"/>
    <mergeCell ref="A35:I35"/>
    <mergeCell ref="A34:I34"/>
    <mergeCell ref="A33:I3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topLeftCell="A31" zoomScaleNormal="100" workbookViewId="0">
      <selection activeCell="M38" sqref="M38"/>
    </sheetView>
  </sheetViews>
  <sheetFormatPr baseColWidth="10" defaultRowHeight="14.25" x14ac:dyDescent="0.2"/>
  <cols>
    <col min="1" max="1" width="17.85546875" style="147" customWidth="1"/>
    <col min="2" max="2" width="2.7109375" style="147" customWidth="1"/>
    <col min="3" max="3" width="17.7109375" style="147" customWidth="1"/>
    <col min="4" max="4" width="15.85546875" style="147" bestFit="1" customWidth="1"/>
    <col min="5" max="5" width="4.7109375" style="147" customWidth="1"/>
    <col min="6" max="6" width="12.85546875" style="147" bestFit="1" customWidth="1"/>
    <col min="7" max="7" width="11.42578125" style="147"/>
    <col min="8" max="8" width="1" style="147" customWidth="1"/>
    <col min="9" max="9" width="21" style="147" bestFit="1" customWidth="1"/>
    <col min="10" max="10" width="15.140625" style="147" customWidth="1"/>
    <col min="11" max="11" width="13" style="146" customWidth="1"/>
    <col min="12" max="12" width="14.42578125" style="147" bestFit="1" customWidth="1"/>
    <col min="13" max="13" width="19.7109375" style="147" bestFit="1" customWidth="1"/>
    <col min="14" max="14" width="12.7109375" style="147" bestFit="1" customWidth="1"/>
    <col min="15" max="16384" width="11.42578125" style="147"/>
  </cols>
  <sheetData>
    <row r="2" spans="1:15" ht="15" x14ac:dyDescent="0.25">
      <c r="A2" s="613" t="s">
        <v>1075</v>
      </c>
      <c r="B2" s="613"/>
      <c r="C2" s="613"/>
      <c r="D2" s="613"/>
      <c r="E2" s="613"/>
      <c r="F2" s="613"/>
      <c r="G2" s="613"/>
      <c r="H2" s="613"/>
      <c r="I2" s="613"/>
      <c r="J2" s="613"/>
    </row>
    <row r="4" spans="1:15" ht="30" customHeight="1" x14ac:dyDescent="0.25">
      <c r="A4" s="616" t="s">
        <v>1076</v>
      </c>
      <c r="B4" s="616"/>
      <c r="C4" s="616"/>
      <c r="D4" s="616"/>
      <c r="E4" s="616"/>
      <c r="F4" s="616"/>
      <c r="G4" s="616"/>
      <c r="H4" s="616"/>
      <c r="I4" s="616"/>
      <c r="J4" s="616"/>
    </row>
    <row r="5" spans="1:15" ht="15" x14ac:dyDescent="0.25">
      <c r="I5" s="505" t="s">
        <v>1073</v>
      </c>
      <c r="J5" s="506">
        <v>38004</v>
      </c>
    </row>
    <row r="6" spans="1:15" x14ac:dyDescent="0.2">
      <c r="I6" s="617" t="s">
        <v>1074</v>
      </c>
      <c r="J6" s="617"/>
    </row>
    <row r="8" spans="1:15" ht="15" x14ac:dyDescent="0.25">
      <c r="A8" s="613" t="s">
        <v>1077</v>
      </c>
      <c r="B8" s="613"/>
      <c r="C8" s="613"/>
      <c r="D8" s="613"/>
      <c r="E8" s="613"/>
      <c r="F8" s="613"/>
      <c r="G8" s="613"/>
      <c r="H8" s="613"/>
      <c r="I8" s="613"/>
      <c r="J8" s="613"/>
    </row>
    <row r="9" spans="1:15" ht="15" x14ac:dyDescent="0.25">
      <c r="A9" s="614" t="s">
        <v>386</v>
      </c>
      <c r="B9" s="614"/>
      <c r="C9" s="614"/>
      <c r="D9" s="614"/>
      <c r="E9" s="614"/>
      <c r="F9" s="614"/>
      <c r="G9" s="614"/>
      <c r="H9" s="614"/>
      <c r="I9" s="614"/>
      <c r="J9" s="614"/>
    </row>
    <row r="10" spans="1:15" ht="62.25" customHeight="1" x14ac:dyDescent="0.2">
      <c r="A10" s="537" t="s">
        <v>507</v>
      </c>
      <c r="B10" s="537"/>
      <c r="C10" s="537"/>
      <c r="D10" s="537"/>
      <c r="E10" s="537"/>
      <c r="F10" s="537"/>
      <c r="G10" s="537"/>
      <c r="H10" s="537"/>
      <c r="I10" s="537"/>
      <c r="J10" s="537"/>
      <c r="M10" s="413"/>
    </row>
    <row r="11" spans="1:15" ht="15" x14ac:dyDescent="0.25">
      <c r="A11" s="515" t="s">
        <v>1108</v>
      </c>
      <c r="B11" s="148"/>
      <c r="C11" s="148">
        <v>35607</v>
      </c>
      <c r="D11" s="148"/>
      <c r="E11" s="148"/>
      <c r="F11" s="148"/>
      <c r="G11" s="148"/>
      <c r="H11" s="148"/>
      <c r="I11" s="149" t="s">
        <v>801</v>
      </c>
      <c r="J11" s="150">
        <v>36308</v>
      </c>
      <c r="K11" s="505" t="s">
        <v>0</v>
      </c>
      <c r="L11" s="506" t="s">
        <v>0</v>
      </c>
      <c r="M11" s="248"/>
    </row>
    <row r="12" spans="1:15" ht="15" customHeight="1" x14ac:dyDescent="0.2">
      <c r="A12" s="376" t="s">
        <v>350</v>
      </c>
      <c r="B12" s="376"/>
      <c r="C12" s="376" t="s">
        <v>351</v>
      </c>
      <c r="D12" s="376" t="s">
        <v>352</v>
      </c>
      <c r="E12" s="151"/>
      <c r="F12" s="611" t="s">
        <v>353</v>
      </c>
      <c r="G12" s="611"/>
      <c r="H12" s="611"/>
      <c r="I12" s="611"/>
      <c r="J12" s="611"/>
      <c r="K12" s="507" t="s">
        <v>0</v>
      </c>
      <c r="L12" s="508"/>
      <c r="M12" s="248" t="s">
        <v>0</v>
      </c>
    </row>
    <row r="13" spans="1:15" ht="15" customHeight="1" x14ac:dyDescent="0.2">
      <c r="A13" s="380" t="s">
        <v>354</v>
      </c>
      <c r="B13" s="380"/>
      <c r="C13" s="380" t="s">
        <v>355</v>
      </c>
      <c r="D13" s="380" t="s">
        <v>356</v>
      </c>
      <c r="E13" s="151"/>
      <c r="F13" s="611"/>
      <c r="G13" s="611"/>
      <c r="H13" s="611"/>
      <c r="I13" s="611"/>
      <c r="J13" s="611"/>
      <c r="L13" s="248"/>
      <c r="M13" s="248"/>
      <c r="O13" s="249"/>
    </row>
    <row r="14" spans="1:15" ht="15" customHeight="1" x14ac:dyDescent="0.2">
      <c r="A14" s="153">
        <v>0</v>
      </c>
      <c r="B14" s="153"/>
      <c r="C14" s="247">
        <f>1090</f>
        <v>1090</v>
      </c>
      <c r="D14" s="153">
        <v>0</v>
      </c>
      <c r="E14" s="152"/>
      <c r="F14" s="610">
        <v>0</v>
      </c>
      <c r="G14" s="610"/>
      <c r="H14" s="610"/>
      <c r="I14" s="610"/>
      <c r="J14" s="610"/>
    </row>
    <row r="15" spans="1:15" ht="15" customHeight="1" x14ac:dyDescent="0.2">
      <c r="A15" s="153"/>
      <c r="B15" s="381"/>
      <c r="C15" s="382">
        <f>ROUND((C14*J11),-3)</f>
        <v>39576000</v>
      </c>
      <c r="D15" s="153"/>
      <c r="E15" s="152"/>
      <c r="F15" s="152"/>
      <c r="G15" s="152"/>
      <c r="H15" s="152"/>
      <c r="I15" s="152"/>
      <c r="J15" s="152"/>
      <c r="L15" s="248"/>
      <c r="N15" s="248"/>
    </row>
    <row r="16" spans="1:15" ht="30" customHeight="1" x14ac:dyDescent="0.25">
      <c r="A16" s="155" t="s">
        <v>506</v>
      </c>
      <c r="B16" s="156"/>
      <c r="C16" s="155">
        <v>1700</v>
      </c>
      <c r="D16" s="411">
        <v>0.19</v>
      </c>
      <c r="E16" s="157"/>
      <c r="F16" s="611" t="s">
        <v>357</v>
      </c>
      <c r="G16" s="611"/>
      <c r="H16" s="611"/>
      <c r="I16" s="611"/>
      <c r="J16" s="611"/>
      <c r="K16" s="161">
        <f>(1700-1090)*0.19</f>
        <v>115.9</v>
      </c>
      <c r="L16" s="248"/>
      <c r="O16" s="248"/>
    </row>
    <row r="17" spans="1:15" ht="15" customHeight="1" x14ac:dyDescent="0.2">
      <c r="A17" s="154">
        <f>C15</f>
        <v>39576000</v>
      </c>
      <c r="B17" s="158"/>
      <c r="C17" s="154">
        <f>ROUND((C16*J11),-3)</f>
        <v>61724000</v>
      </c>
      <c r="D17" s="157"/>
      <c r="E17" s="157"/>
      <c r="F17" s="152"/>
      <c r="G17" s="152"/>
      <c r="H17" s="152"/>
      <c r="I17" s="152"/>
      <c r="J17" s="152"/>
      <c r="L17" s="249">
        <f>L15/877000</f>
        <v>0</v>
      </c>
    </row>
    <row r="18" spans="1:15" ht="36" customHeight="1" x14ac:dyDescent="0.25">
      <c r="A18" s="155">
        <v>1700</v>
      </c>
      <c r="B18" s="159"/>
      <c r="C18" s="155">
        <v>4100</v>
      </c>
      <c r="D18" s="411">
        <v>0.28000000000000003</v>
      </c>
      <c r="E18" s="160"/>
      <c r="F18" s="611" t="s">
        <v>509</v>
      </c>
      <c r="G18" s="611"/>
      <c r="H18" s="611"/>
      <c r="I18" s="611"/>
      <c r="J18" s="611"/>
      <c r="K18" s="509">
        <f>(4100-1700)*28/100</f>
        <v>672</v>
      </c>
      <c r="L18" s="510">
        <f>SUM(K16:K18)</f>
        <v>787.9</v>
      </c>
      <c r="M18" s="147" t="s">
        <v>0</v>
      </c>
      <c r="O18" s="147" t="s">
        <v>0</v>
      </c>
    </row>
    <row r="19" spans="1:15" ht="15" customHeight="1" x14ac:dyDescent="0.2">
      <c r="A19" s="154">
        <f>C17</f>
        <v>61724000</v>
      </c>
      <c r="B19" s="162"/>
      <c r="C19" s="154">
        <f>ROUND((C18*J11),-3)</f>
        <v>148863000</v>
      </c>
      <c r="D19" s="160"/>
      <c r="E19" s="160"/>
      <c r="F19" s="152"/>
      <c r="G19" s="152"/>
      <c r="H19" s="152"/>
      <c r="I19" s="152"/>
      <c r="J19" s="152"/>
    </row>
    <row r="20" spans="1:15" ht="34.5" customHeight="1" x14ac:dyDescent="0.25">
      <c r="A20" s="155">
        <v>4100</v>
      </c>
      <c r="B20" s="313"/>
      <c r="C20" s="155">
        <v>8670</v>
      </c>
      <c r="D20" s="412">
        <v>0.33</v>
      </c>
      <c r="E20" s="160"/>
      <c r="F20" s="611" t="s">
        <v>510</v>
      </c>
      <c r="G20" s="611"/>
      <c r="H20" s="611"/>
      <c r="I20" s="611"/>
      <c r="J20" s="611"/>
      <c r="K20" s="163">
        <f>(C20-A20)*0.33</f>
        <v>1508.1000000000001</v>
      </c>
      <c r="L20" s="163">
        <f>SUM(K16:K20)</f>
        <v>2296</v>
      </c>
    </row>
    <row r="21" spans="1:15" ht="23.1" customHeight="1" x14ac:dyDescent="0.2">
      <c r="A21" s="255">
        <f>C19</f>
        <v>148863000</v>
      </c>
      <c r="B21" s="256"/>
      <c r="C21" s="254">
        <f>ROUND((C20*J11),-3)</f>
        <v>314790000</v>
      </c>
      <c r="D21" s="257"/>
      <c r="E21" s="164"/>
      <c r="F21" s="612"/>
      <c r="G21" s="612"/>
      <c r="H21" s="612"/>
      <c r="I21" s="612"/>
      <c r="J21" s="612"/>
    </row>
    <row r="22" spans="1:15" ht="30" customHeight="1" x14ac:dyDescent="0.25">
      <c r="A22" s="314">
        <v>8670</v>
      </c>
      <c r="B22" s="315"/>
      <c r="C22" s="314">
        <v>18970</v>
      </c>
      <c r="D22" s="316">
        <v>0.35</v>
      </c>
      <c r="E22" s="160"/>
      <c r="F22" s="611" t="s">
        <v>511</v>
      </c>
      <c r="G22" s="611"/>
      <c r="H22" s="611"/>
      <c r="I22" s="611"/>
      <c r="J22" s="611"/>
      <c r="K22" s="163">
        <f>(C22-A22)*0.35</f>
        <v>3604.9999999999995</v>
      </c>
      <c r="L22" s="163">
        <f>L20+K22</f>
        <v>5901</v>
      </c>
    </row>
    <row r="23" spans="1:15" ht="15" customHeight="1" x14ac:dyDescent="0.2">
      <c r="A23" s="255">
        <f>C21</f>
        <v>314790000</v>
      </c>
      <c r="B23" s="256"/>
      <c r="C23" s="254">
        <f>ROUND((C22*J11),-3)</f>
        <v>688763000</v>
      </c>
      <c r="D23" s="257"/>
      <c r="E23" s="164"/>
      <c r="F23" s="612"/>
      <c r="G23" s="612"/>
      <c r="H23" s="612"/>
      <c r="I23" s="612"/>
      <c r="J23" s="612"/>
      <c r="N23" s="317"/>
    </row>
    <row r="24" spans="1:15" ht="30" customHeight="1" x14ac:dyDescent="0.25">
      <c r="A24" s="314">
        <v>18970</v>
      </c>
      <c r="B24" s="315"/>
      <c r="C24" s="314">
        <v>31000</v>
      </c>
      <c r="D24" s="316">
        <v>0.37</v>
      </c>
      <c r="E24" s="160"/>
      <c r="F24" s="611" t="s">
        <v>512</v>
      </c>
      <c r="G24" s="611"/>
      <c r="H24" s="611"/>
      <c r="I24" s="611"/>
      <c r="J24" s="611"/>
      <c r="K24" s="163">
        <f>(C24-A24)*0.37</f>
        <v>4451.1000000000004</v>
      </c>
      <c r="L24" s="163">
        <f>L22+K24</f>
        <v>10352.1</v>
      </c>
    </row>
    <row r="25" spans="1:15" ht="15" customHeight="1" x14ac:dyDescent="0.25">
      <c r="A25" s="255">
        <f>C23</f>
        <v>688763000</v>
      </c>
      <c r="B25" s="256"/>
      <c r="C25" s="254">
        <f>ROUND((C24*J11),-3)</f>
        <v>1125548000</v>
      </c>
      <c r="D25" s="257"/>
      <c r="E25" s="164"/>
      <c r="F25" s="612"/>
      <c r="G25" s="612"/>
      <c r="H25" s="612"/>
      <c r="I25" s="612"/>
      <c r="J25" s="612"/>
      <c r="L25" s="161"/>
      <c r="M25" s="161"/>
    </row>
    <row r="26" spans="1:15" ht="30" customHeight="1" x14ac:dyDescent="0.25">
      <c r="A26" s="314">
        <v>31000</v>
      </c>
      <c r="B26" s="315"/>
      <c r="C26" s="314" t="s">
        <v>358</v>
      </c>
      <c r="D26" s="316">
        <v>0.39</v>
      </c>
      <c r="E26" s="160"/>
      <c r="F26" s="611" t="s">
        <v>513</v>
      </c>
      <c r="G26" s="611"/>
      <c r="H26" s="611"/>
      <c r="I26" s="611"/>
      <c r="J26" s="611"/>
      <c r="K26" s="161" t="s">
        <v>0</v>
      </c>
      <c r="L26" s="163" t="s">
        <v>0</v>
      </c>
    </row>
    <row r="27" spans="1:15" ht="15" customHeight="1" x14ac:dyDescent="0.2">
      <c r="A27" s="255">
        <f>C25</f>
        <v>1125548000</v>
      </c>
      <c r="B27" s="256"/>
      <c r="C27" s="254">
        <v>0</v>
      </c>
      <c r="D27" s="257"/>
      <c r="E27" s="164"/>
      <c r="F27" s="612"/>
      <c r="G27" s="612"/>
      <c r="H27" s="612"/>
      <c r="I27" s="612"/>
      <c r="J27" s="612"/>
    </row>
    <row r="28" spans="1:15" ht="15" customHeight="1" x14ac:dyDescent="0.2">
      <c r="A28" s="165"/>
      <c r="B28" s="143"/>
      <c r="C28" s="144"/>
      <c r="D28" s="145"/>
      <c r="E28" s="145"/>
      <c r="F28" s="142"/>
      <c r="G28" s="142"/>
      <c r="H28" s="142"/>
      <c r="I28" s="142"/>
      <c r="J28" s="142"/>
    </row>
    <row r="29" spans="1:15" ht="15" customHeight="1" x14ac:dyDescent="0.2">
      <c r="A29" s="165"/>
      <c r="B29" s="143"/>
      <c r="C29" s="165"/>
      <c r="D29" s="345"/>
      <c r="E29" s="145"/>
      <c r="F29" s="142"/>
      <c r="G29" s="142"/>
      <c r="H29" s="142"/>
      <c r="I29" s="142"/>
      <c r="J29" s="142"/>
    </row>
    <row r="30" spans="1:15" ht="15" customHeight="1" x14ac:dyDescent="0.2">
      <c r="A30" s="165"/>
      <c r="B30" s="143"/>
      <c r="C30" s="144"/>
      <c r="D30" s="345"/>
      <c r="E30" s="145"/>
      <c r="F30" s="142"/>
      <c r="G30" s="142"/>
      <c r="H30" s="142"/>
      <c r="I30" s="142"/>
      <c r="J30" s="142"/>
      <c r="L30" s="379"/>
    </row>
    <row r="31" spans="1:15" ht="15" customHeight="1" x14ac:dyDescent="0.2">
      <c r="A31" s="165"/>
      <c r="B31" s="143"/>
      <c r="C31" s="144"/>
      <c r="D31" s="345"/>
      <c r="E31" s="145"/>
      <c r="F31" s="142"/>
      <c r="G31" s="142"/>
      <c r="H31" s="142"/>
      <c r="I31" s="142"/>
      <c r="J31" s="142"/>
      <c r="L31" s="379"/>
    </row>
    <row r="32" spans="1:15" ht="15" customHeight="1" x14ac:dyDescent="0.25">
      <c r="A32" s="346"/>
      <c r="B32" s="166"/>
      <c r="C32" s="166"/>
      <c r="D32" s="347"/>
      <c r="E32" s="166"/>
      <c r="F32" s="166"/>
      <c r="G32" s="166"/>
      <c r="H32" s="166"/>
      <c r="I32" s="166"/>
      <c r="J32" s="166"/>
      <c r="L32" s="379"/>
    </row>
    <row r="33" spans="1:13" ht="15" customHeight="1" x14ac:dyDescent="0.25">
      <c r="A33" s="346"/>
      <c r="B33" s="166"/>
      <c r="C33" s="166"/>
      <c r="D33" s="347"/>
      <c r="E33" s="166"/>
      <c r="F33" s="166"/>
      <c r="G33" s="166"/>
      <c r="H33" s="166"/>
      <c r="I33" s="166"/>
      <c r="J33" s="166"/>
      <c r="K33" s="146" t="s">
        <v>0</v>
      </c>
    </row>
    <row r="34" spans="1:13" ht="15" customHeight="1" x14ac:dyDescent="0.25">
      <c r="A34" s="620" t="s">
        <v>508</v>
      </c>
      <c r="B34" s="620"/>
      <c r="C34" s="620"/>
      <c r="D34" s="620"/>
      <c r="E34" s="166"/>
      <c r="F34" s="166"/>
      <c r="G34" s="166"/>
      <c r="H34" s="166"/>
      <c r="I34" s="166"/>
      <c r="J34" s="166"/>
    </row>
    <row r="35" spans="1:13" x14ac:dyDescent="0.2">
      <c r="A35" s="171"/>
    </row>
    <row r="36" spans="1:13" x14ac:dyDescent="0.2">
      <c r="A36" s="621" t="s">
        <v>835</v>
      </c>
      <c r="B36" s="621"/>
      <c r="C36" s="621"/>
      <c r="D36" s="621"/>
      <c r="E36" s="621"/>
      <c r="F36" s="621"/>
      <c r="G36" s="171"/>
      <c r="H36" s="171"/>
      <c r="I36" s="171"/>
      <c r="J36" s="171"/>
    </row>
    <row r="37" spans="1:13" x14ac:dyDescent="0.2">
      <c r="A37" s="171"/>
    </row>
    <row r="38" spans="1:13" x14ac:dyDescent="0.2">
      <c r="A38" s="615" t="s">
        <v>726</v>
      </c>
      <c r="B38" s="615"/>
      <c r="C38" s="615"/>
      <c r="D38" s="615"/>
      <c r="E38" s="615"/>
      <c r="F38" s="615"/>
      <c r="G38" s="615"/>
      <c r="H38" s="615"/>
      <c r="I38" s="615"/>
      <c r="J38" s="171"/>
    </row>
    <row r="39" spans="1:13" x14ac:dyDescent="0.2">
      <c r="A39" s="171"/>
    </row>
    <row r="40" spans="1:13" x14ac:dyDescent="0.2">
      <c r="A40" s="171"/>
    </row>
    <row r="41" spans="1:13" ht="15" x14ac:dyDescent="0.25">
      <c r="A41" s="620" t="s">
        <v>514</v>
      </c>
      <c r="B41" s="620"/>
      <c r="C41" s="620"/>
      <c r="D41" s="620"/>
      <c r="L41" s="248">
        <v>35700000</v>
      </c>
    </row>
    <row r="42" spans="1:13" ht="21" x14ac:dyDescent="0.2">
      <c r="A42" s="170"/>
      <c r="L42" s="249">
        <f>L41/35607</f>
        <v>1002.61184598534</v>
      </c>
    </row>
    <row r="43" spans="1:13" ht="66" customHeight="1" x14ac:dyDescent="0.2">
      <c r="A43" s="542" t="s">
        <v>718</v>
      </c>
      <c r="B43" s="542"/>
      <c r="C43" s="542"/>
      <c r="D43" s="542"/>
      <c r="E43" s="542"/>
      <c r="F43" s="542"/>
      <c r="G43" s="542"/>
      <c r="H43" s="542"/>
      <c r="I43" s="542"/>
      <c r="J43" s="542"/>
    </row>
    <row r="44" spans="1:13" ht="21" x14ac:dyDescent="0.2">
      <c r="A44" s="170"/>
      <c r="L44" s="249">
        <f>L41*0.33</f>
        <v>11781000</v>
      </c>
      <c r="M44" s="248"/>
    </row>
    <row r="45" spans="1:13" ht="30" customHeight="1" x14ac:dyDescent="0.2">
      <c r="A45" s="542" t="s">
        <v>721</v>
      </c>
      <c r="B45" s="542"/>
      <c r="C45" s="542"/>
      <c r="D45" s="542"/>
      <c r="E45" s="542"/>
      <c r="F45" s="542"/>
      <c r="G45" s="542"/>
      <c r="H45" s="542"/>
      <c r="I45" s="542"/>
      <c r="J45" s="542"/>
    </row>
    <row r="46" spans="1:13" ht="15" x14ac:dyDescent="0.25">
      <c r="A46" s="225" t="s">
        <v>719</v>
      </c>
      <c r="C46" s="618" t="s">
        <v>720</v>
      </c>
      <c r="D46" s="618"/>
      <c r="L46" s="248">
        <f>L41-L44</f>
        <v>23919000</v>
      </c>
    </row>
    <row r="47" spans="1:13" ht="15" x14ac:dyDescent="0.25">
      <c r="A47" s="619" t="s">
        <v>722</v>
      </c>
      <c r="B47" s="619"/>
      <c r="C47" s="619"/>
      <c r="D47" s="619"/>
      <c r="E47" s="619"/>
      <c r="F47" s="619"/>
      <c r="G47" s="619"/>
      <c r="H47" s="619"/>
      <c r="I47" s="619"/>
      <c r="J47" s="619"/>
      <c r="L47" s="249">
        <f>L46/35607</f>
        <v>671.74993681017781</v>
      </c>
      <c r="M47" s="248"/>
    </row>
    <row r="48" spans="1:13" ht="15" x14ac:dyDescent="0.25">
      <c r="A48" s="619" t="s">
        <v>0</v>
      </c>
      <c r="B48" s="619"/>
      <c r="C48" s="619"/>
      <c r="D48" s="619"/>
      <c r="E48" s="619"/>
      <c r="F48" s="619"/>
      <c r="G48" s="619"/>
      <c r="H48" s="619"/>
      <c r="I48" s="619"/>
      <c r="J48" s="619"/>
      <c r="L48" s="248">
        <v>-300</v>
      </c>
    </row>
    <row r="49" spans="1:15" x14ac:dyDescent="0.2">
      <c r="L49" s="249">
        <f>SUM(L47:L48)</f>
        <v>371.74993681017781</v>
      </c>
      <c r="M49" s="249"/>
    </row>
    <row r="50" spans="1:15" ht="54.75" customHeight="1" x14ac:dyDescent="0.2">
      <c r="A50" s="542" t="s">
        <v>723</v>
      </c>
      <c r="B50" s="542"/>
      <c r="C50" s="542"/>
      <c r="D50" s="542"/>
      <c r="E50" s="542"/>
      <c r="F50" s="542"/>
      <c r="G50" s="542"/>
      <c r="H50" s="542"/>
      <c r="I50" s="542"/>
      <c r="J50" s="542"/>
      <c r="L50" s="249">
        <f>L49*10/100</f>
        <v>37.174993681017781</v>
      </c>
    </row>
    <row r="51" spans="1:15" ht="48" customHeight="1" x14ac:dyDescent="0.2">
      <c r="A51" s="542" t="s">
        <v>724</v>
      </c>
      <c r="B51" s="542"/>
      <c r="C51" s="542"/>
      <c r="D51" s="542"/>
      <c r="E51" s="542"/>
      <c r="F51" s="542"/>
      <c r="G51" s="542"/>
      <c r="H51" s="542"/>
      <c r="I51" s="542"/>
      <c r="J51" s="542"/>
      <c r="L51" s="249">
        <f>L50*35607</f>
        <v>1323690.0000000002</v>
      </c>
      <c r="M51" s="249"/>
      <c r="N51" s="249"/>
      <c r="O51" s="249"/>
    </row>
    <row r="52" spans="1:15" ht="15.75" x14ac:dyDescent="0.25">
      <c r="A52" s="592" t="s">
        <v>722</v>
      </c>
      <c r="B52" s="592"/>
      <c r="C52" s="592"/>
      <c r="D52" s="592"/>
      <c r="E52" s="592"/>
      <c r="F52" s="592"/>
      <c r="G52" s="592"/>
      <c r="H52" s="592"/>
      <c r="I52" s="592"/>
      <c r="J52" s="592"/>
      <c r="L52" s="348">
        <f>L44+L51</f>
        <v>13104690</v>
      </c>
    </row>
    <row r="54" spans="1:15" x14ac:dyDescent="0.2">
      <c r="L54" s="249">
        <f>L41-L52</f>
        <v>22595310</v>
      </c>
    </row>
    <row r="55" spans="1:15" ht="61.5" customHeight="1" x14ac:dyDescent="0.2">
      <c r="A55" s="542" t="s">
        <v>725</v>
      </c>
      <c r="B55" s="542"/>
      <c r="C55" s="542"/>
      <c r="D55" s="542"/>
      <c r="E55" s="542"/>
      <c r="F55" s="542"/>
      <c r="G55" s="542"/>
      <c r="H55" s="542"/>
      <c r="I55" s="542"/>
      <c r="J55" s="542"/>
    </row>
  </sheetData>
  <sheetProtection formatCells="0" formatColumns="0" formatRows="0" insertColumns="0" insertRows="0" insertHyperlinks="0" deleteColumns="0" deleteRows="0" sort="0" autoFilter="0" pivotTables="0"/>
  <customSheetViews>
    <customSheetView guid="{984CD521-F61A-4081-9FBE-1EFFB5F20A35}" topLeftCell="A14">
      <selection activeCell="L22" sqref="L22"/>
      <pageMargins left="0.7" right="0.7" top="0.75" bottom="0.75" header="0.3" footer="0.3"/>
      <pageSetup orientation="portrait" verticalDpi="0" r:id="rId1"/>
    </customSheetView>
  </customSheetViews>
  <mergeCells count="32">
    <mergeCell ref="A2:J2"/>
    <mergeCell ref="A4:J4"/>
    <mergeCell ref="I6:J6"/>
    <mergeCell ref="F27:J27"/>
    <mergeCell ref="A55:J55"/>
    <mergeCell ref="C46:D46"/>
    <mergeCell ref="A48:J48"/>
    <mergeCell ref="A50:J50"/>
    <mergeCell ref="A51:J51"/>
    <mergeCell ref="A52:J52"/>
    <mergeCell ref="A47:J47"/>
    <mergeCell ref="A45:J45"/>
    <mergeCell ref="A34:D34"/>
    <mergeCell ref="A41:D41"/>
    <mergeCell ref="A36:F36"/>
    <mergeCell ref="A43:J43"/>
    <mergeCell ref="A38:I38"/>
    <mergeCell ref="F22:J22"/>
    <mergeCell ref="F23:J23"/>
    <mergeCell ref="F24:J24"/>
    <mergeCell ref="F25:J25"/>
    <mergeCell ref="F26:J26"/>
    <mergeCell ref="A8:J8"/>
    <mergeCell ref="A9:J9"/>
    <mergeCell ref="F12:J12"/>
    <mergeCell ref="A10:J10"/>
    <mergeCell ref="F13:J13"/>
    <mergeCell ref="F14:J14"/>
    <mergeCell ref="F20:J20"/>
    <mergeCell ref="F21:J21"/>
    <mergeCell ref="F16:J16"/>
    <mergeCell ref="F18:J18"/>
  </mergeCells>
  <phoneticPr fontId="15" type="noConversion"/>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opLeftCell="A13" workbookViewId="0">
      <selection activeCell="A23" sqref="A23:H23"/>
    </sheetView>
  </sheetViews>
  <sheetFormatPr baseColWidth="10" defaultRowHeight="14.25" x14ac:dyDescent="0.2"/>
  <cols>
    <col min="1" max="4" width="11.42578125" style="70"/>
    <col min="5" max="5" width="14" style="70" customWidth="1"/>
    <col min="6" max="6" width="11.42578125" style="70"/>
    <col min="7" max="7" width="15.7109375" style="70" customWidth="1"/>
    <col min="8" max="8" width="24.140625" style="70" customWidth="1"/>
    <col min="9" max="9" width="3.42578125" style="70" customWidth="1"/>
    <col min="10" max="10" width="6.5703125" style="70" customWidth="1"/>
    <col min="11" max="11" width="15" style="70" customWidth="1"/>
    <col min="12" max="12" width="13.85546875" style="286" bestFit="1" customWidth="1"/>
    <col min="13" max="16384" width="11.42578125" style="70"/>
  </cols>
  <sheetData>
    <row r="2" spans="1:12" ht="15" x14ac:dyDescent="0.25">
      <c r="A2" s="620" t="s">
        <v>1083</v>
      </c>
      <c r="B2" s="620"/>
      <c r="C2" s="620"/>
      <c r="D2" s="620"/>
      <c r="E2" s="620"/>
      <c r="F2" s="620"/>
      <c r="G2" s="620"/>
    </row>
    <row r="3" spans="1:12" ht="15" x14ac:dyDescent="0.25">
      <c r="A3" s="140"/>
      <c r="B3" s="140"/>
      <c r="C3" s="140"/>
      <c r="D3" s="140"/>
      <c r="E3" s="140"/>
      <c r="F3" s="140"/>
      <c r="G3" s="140"/>
    </row>
    <row r="4" spans="1:12" ht="45" customHeight="1" x14ac:dyDescent="0.2">
      <c r="A4" s="623" t="s">
        <v>727</v>
      </c>
      <c r="B4" s="623"/>
      <c r="C4" s="623"/>
      <c r="D4" s="623"/>
      <c r="E4" s="623"/>
      <c r="F4" s="623"/>
      <c r="G4" s="623"/>
      <c r="H4" s="623"/>
    </row>
    <row r="6" spans="1:12" ht="60" customHeight="1" x14ac:dyDescent="0.2">
      <c r="A6" s="622" t="s">
        <v>813</v>
      </c>
      <c r="B6" s="622"/>
      <c r="C6" s="622"/>
      <c r="D6" s="622"/>
      <c r="E6" s="622"/>
      <c r="F6" s="622"/>
      <c r="G6" s="622"/>
      <c r="H6" s="622"/>
      <c r="I6" s="99"/>
      <c r="J6" s="99"/>
      <c r="K6" s="409"/>
      <c r="L6" s="408"/>
    </row>
    <row r="7" spans="1:12" ht="15" customHeight="1" x14ac:dyDescent="0.2">
      <c r="A7" s="267"/>
      <c r="B7" s="267"/>
      <c r="C7" s="267"/>
      <c r="D7" s="267"/>
      <c r="E7" s="267"/>
      <c r="F7" s="267"/>
      <c r="G7" s="267"/>
      <c r="H7" s="267"/>
      <c r="I7" s="99"/>
      <c r="J7" s="99"/>
      <c r="K7" s="226"/>
    </row>
    <row r="8" spans="1:12" ht="52.5" customHeight="1" x14ac:dyDescent="0.2">
      <c r="A8" s="624" t="s">
        <v>850</v>
      </c>
      <c r="B8" s="625"/>
      <c r="C8" s="625"/>
      <c r="D8" s="625"/>
      <c r="E8" s="625"/>
      <c r="F8" s="625"/>
      <c r="G8" s="625"/>
      <c r="H8" s="626"/>
      <c r="K8" s="337"/>
    </row>
    <row r="9" spans="1:12" x14ac:dyDescent="0.2">
      <c r="A9" s="289"/>
      <c r="B9" s="290"/>
      <c r="C9" s="290"/>
      <c r="D9" s="290"/>
      <c r="E9" s="290"/>
      <c r="F9" s="290"/>
      <c r="G9" s="290"/>
      <c r="H9" s="290"/>
      <c r="I9" s="291"/>
    </row>
    <row r="10" spans="1:12" ht="30" customHeight="1" x14ac:dyDescent="0.25">
      <c r="A10" s="627" t="s">
        <v>1078</v>
      </c>
      <c r="B10" s="627"/>
      <c r="C10" s="627"/>
      <c r="D10" s="627"/>
      <c r="E10" s="627"/>
      <c r="F10" s="627"/>
      <c r="G10" s="627"/>
      <c r="H10" s="627"/>
      <c r="I10" s="292"/>
      <c r="J10" s="226" t="s">
        <v>0</v>
      </c>
      <c r="K10" s="226">
        <f>4500*36308</f>
        <v>163386000</v>
      </c>
      <c r="L10" s="287"/>
    </row>
    <row r="11" spans="1:12" ht="15" x14ac:dyDescent="0.25">
      <c r="A11" s="630" t="s">
        <v>0</v>
      </c>
      <c r="B11" s="631"/>
      <c r="C11" s="631"/>
      <c r="D11" s="631"/>
      <c r="E11" s="631"/>
      <c r="F11" s="631"/>
      <c r="G11" s="631"/>
      <c r="H11" s="632"/>
      <c r="I11" s="292"/>
      <c r="K11" s="375"/>
    </row>
    <row r="12" spans="1:12" ht="15" x14ac:dyDescent="0.25">
      <c r="A12" s="628" t="s">
        <v>1079</v>
      </c>
      <c r="B12" s="628"/>
      <c r="C12" s="628"/>
      <c r="D12" s="628"/>
      <c r="E12" s="628"/>
      <c r="F12" s="628"/>
      <c r="G12" s="628"/>
      <c r="H12" s="628"/>
      <c r="I12" s="292"/>
      <c r="J12" s="226"/>
      <c r="K12" s="226">
        <f>1400*36308</f>
        <v>50831200</v>
      </c>
    </row>
    <row r="13" spans="1:12" x14ac:dyDescent="0.2">
      <c r="A13" s="630"/>
      <c r="B13" s="631"/>
      <c r="C13" s="631"/>
      <c r="D13" s="631"/>
      <c r="E13" s="631"/>
      <c r="F13" s="631"/>
      <c r="G13" s="631"/>
      <c r="H13" s="632"/>
      <c r="I13" s="292"/>
    </row>
    <row r="14" spans="1:12" ht="20.100000000000001" customHeight="1" x14ac:dyDescent="0.25">
      <c r="A14" s="628" t="s">
        <v>1080</v>
      </c>
      <c r="B14" s="628"/>
      <c r="C14" s="628"/>
      <c r="D14" s="628"/>
      <c r="E14" s="628"/>
      <c r="F14" s="628"/>
      <c r="G14" s="628"/>
      <c r="H14" s="628"/>
      <c r="I14" s="292"/>
      <c r="K14" s="70" t="s">
        <v>0</v>
      </c>
    </row>
    <row r="15" spans="1:12" ht="15" x14ac:dyDescent="0.25">
      <c r="A15" s="630"/>
      <c r="B15" s="631"/>
      <c r="C15" s="631"/>
      <c r="D15" s="631"/>
      <c r="E15" s="631"/>
      <c r="F15" s="631"/>
      <c r="G15" s="631"/>
      <c r="H15" s="632"/>
      <c r="I15" s="292"/>
      <c r="K15" s="226"/>
      <c r="L15" s="288"/>
    </row>
    <row r="16" spans="1:12" ht="15" x14ac:dyDescent="0.25">
      <c r="A16" s="628" t="s">
        <v>1081</v>
      </c>
      <c r="B16" s="628"/>
      <c r="C16" s="628"/>
      <c r="D16" s="628"/>
      <c r="E16" s="628"/>
      <c r="F16" s="628"/>
      <c r="G16" s="628"/>
      <c r="H16" s="628"/>
      <c r="I16" s="292"/>
      <c r="K16" s="226"/>
    </row>
    <row r="17" spans="1:11" x14ac:dyDescent="0.2">
      <c r="A17" s="630"/>
      <c r="B17" s="631"/>
      <c r="C17" s="631"/>
      <c r="D17" s="631"/>
      <c r="E17" s="631"/>
      <c r="F17" s="631"/>
      <c r="G17" s="631"/>
      <c r="H17" s="632"/>
      <c r="I17" s="292"/>
    </row>
    <row r="18" spans="1:11" ht="30" customHeight="1" x14ac:dyDescent="0.25">
      <c r="A18" s="629" t="s">
        <v>1082</v>
      </c>
      <c r="B18" s="629"/>
      <c r="C18" s="629"/>
      <c r="D18" s="629"/>
      <c r="E18" s="629"/>
      <c r="F18" s="629"/>
      <c r="G18" s="629"/>
      <c r="H18" s="629"/>
      <c r="I18" s="292"/>
      <c r="K18" s="337"/>
    </row>
    <row r="19" spans="1:11" x14ac:dyDescent="0.2">
      <c r="A19" s="293"/>
      <c r="B19" s="294"/>
      <c r="C19" s="294"/>
      <c r="D19" s="294"/>
      <c r="E19" s="294"/>
      <c r="F19" s="294"/>
      <c r="G19" s="294"/>
      <c r="H19" s="294"/>
      <c r="I19" s="295"/>
      <c r="K19" s="337"/>
    </row>
    <row r="21" spans="1:11" ht="74.25" customHeight="1" x14ac:dyDescent="0.2">
      <c r="A21" s="542" t="s">
        <v>750</v>
      </c>
      <c r="B21" s="542"/>
      <c r="C21" s="542"/>
      <c r="D21" s="542"/>
      <c r="E21" s="542"/>
      <c r="F21" s="542"/>
      <c r="G21" s="542"/>
      <c r="H21" s="542"/>
    </row>
    <row r="23" spans="1:11" ht="15.75" x14ac:dyDescent="0.25">
      <c r="A23" s="602" t="s">
        <v>751</v>
      </c>
      <c r="B23" s="602"/>
      <c r="C23" s="602"/>
      <c r="D23" s="602"/>
      <c r="E23" s="602"/>
      <c r="F23" s="602"/>
      <c r="G23" s="602"/>
      <c r="H23" s="602"/>
    </row>
  </sheetData>
  <mergeCells count="15">
    <mergeCell ref="A23:H23"/>
    <mergeCell ref="A2:G2"/>
    <mergeCell ref="A6:H6"/>
    <mergeCell ref="A4:H4"/>
    <mergeCell ref="A8:H8"/>
    <mergeCell ref="A10:H10"/>
    <mergeCell ref="A12:H12"/>
    <mergeCell ref="A14:H14"/>
    <mergeCell ref="A16:H16"/>
    <mergeCell ref="A18:H18"/>
    <mergeCell ref="A21:H21"/>
    <mergeCell ref="A11:H11"/>
    <mergeCell ref="A13:H13"/>
    <mergeCell ref="A15:H15"/>
    <mergeCell ref="A17: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8"/>
  <sheetViews>
    <sheetView zoomScale="145" zoomScaleNormal="145" workbookViewId="0">
      <selection activeCell="A4" sqref="A4"/>
    </sheetView>
  </sheetViews>
  <sheetFormatPr baseColWidth="10" defaultRowHeight="15" x14ac:dyDescent="0.25"/>
  <cols>
    <col min="1" max="1" width="86.7109375" customWidth="1"/>
    <col min="2" max="2" width="5" customWidth="1"/>
    <col min="3" max="3" width="6.85546875" customWidth="1"/>
    <col min="4" max="4" width="6.5703125" customWidth="1"/>
  </cols>
  <sheetData>
    <row r="2" spans="1:4" ht="15.75" x14ac:dyDescent="0.25">
      <c r="A2" s="64" t="s">
        <v>401</v>
      </c>
    </row>
    <row r="3" spans="1:4" x14ac:dyDescent="0.25">
      <c r="D3" t="s">
        <v>0</v>
      </c>
    </row>
    <row r="4" spans="1:4" ht="30" x14ac:dyDescent="0.25">
      <c r="A4" s="67" t="s">
        <v>402</v>
      </c>
    </row>
    <row r="5" spans="1:4" x14ac:dyDescent="0.25">
      <c r="A5" s="65"/>
    </row>
    <row r="6" spans="1:4" ht="15.75" x14ac:dyDescent="0.25">
      <c r="A6" s="64" t="s">
        <v>53</v>
      </c>
    </row>
    <row r="8" spans="1:4" ht="30" x14ac:dyDescent="0.25">
      <c r="A8" s="61" t="s">
        <v>380</v>
      </c>
    </row>
    <row r="9" spans="1:4" x14ac:dyDescent="0.25">
      <c r="A9" s="65"/>
    </row>
    <row r="10" spans="1:4" ht="15.75" x14ac:dyDescent="0.25">
      <c r="A10" s="64" t="s">
        <v>381</v>
      </c>
    </row>
    <row r="11" spans="1:4" ht="15.75" x14ac:dyDescent="0.25">
      <c r="A11" s="64"/>
    </row>
    <row r="12" spans="1:4" x14ac:dyDescent="0.25">
      <c r="A12" s="62"/>
    </row>
    <row r="13" spans="1:4" ht="120" x14ac:dyDescent="0.25">
      <c r="A13" s="61" t="s">
        <v>375</v>
      </c>
    </row>
    <row r="14" spans="1:4" x14ac:dyDescent="0.25">
      <c r="A14" s="62"/>
    </row>
    <row r="15" spans="1:4" ht="84.75" customHeight="1" x14ac:dyDescent="0.25">
      <c r="A15" s="352" t="s">
        <v>407</v>
      </c>
    </row>
    <row r="16" spans="1:4" x14ac:dyDescent="0.25">
      <c r="A16" s="62"/>
      <c r="C16" t="s">
        <v>370</v>
      </c>
    </row>
    <row r="17" spans="1:3" ht="75" x14ac:dyDescent="0.25">
      <c r="A17" s="61" t="s">
        <v>366</v>
      </c>
    </row>
    <row r="18" spans="1:3" x14ac:dyDescent="0.25">
      <c r="A18" s="62"/>
    </row>
    <row r="19" spans="1:3" ht="30" x14ac:dyDescent="0.25">
      <c r="A19" s="61" t="s">
        <v>388</v>
      </c>
    </row>
    <row r="20" spans="1:3" x14ac:dyDescent="0.25">
      <c r="A20" s="62"/>
    </row>
    <row r="21" spans="1:3" ht="60" x14ac:dyDescent="0.25">
      <c r="A21" s="73" t="s">
        <v>389</v>
      </c>
    </row>
    <row r="22" spans="1:3" x14ac:dyDescent="0.25">
      <c r="A22" s="62"/>
    </row>
    <row r="23" spans="1:3" ht="30" x14ac:dyDescent="0.25">
      <c r="A23" s="61" t="s">
        <v>367</v>
      </c>
    </row>
    <row r="24" spans="1:3" x14ac:dyDescent="0.25">
      <c r="A24" s="61"/>
      <c r="C24" s="52">
        <v>34270</v>
      </c>
    </row>
    <row r="25" spans="1:3" ht="15.75" x14ac:dyDescent="0.25">
      <c r="A25" s="64" t="s">
        <v>54</v>
      </c>
      <c r="C25" s="52">
        <f>C24*3.9/100</f>
        <v>1336.53</v>
      </c>
    </row>
    <row r="26" spans="1:3" x14ac:dyDescent="0.25">
      <c r="C26" s="52">
        <f>C24+C25</f>
        <v>35606.53</v>
      </c>
    </row>
    <row r="27" spans="1:3" ht="46.5" x14ac:dyDescent="0.25">
      <c r="A27" s="66" t="s">
        <v>403</v>
      </c>
      <c r="C27" s="52"/>
    </row>
    <row r="28" spans="1:3" x14ac:dyDescent="0.25">
      <c r="A28" s="62"/>
      <c r="C28" s="52"/>
    </row>
    <row r="29" spans="1:3" ht="105.75" x14ac:dyDescent="0.25">
      <c r="A29" s="66" t="s">
        <v>382</v>
      </c>
      <c r="C29" s="52"/>
    </row>
    <row r="30" spans="1:3" x14ac:dyDescent="0.25">
      <c r="A30" s="62"/>
    </row>
    <row r="31" spans="1:3" ht="30.75" x14ac:dyDescent="0.25">
      <c r="A31" s="66" t="s">
        <v>383</v>
      </c>
    </row>
    <row r="33" spans="1:1" ht="15.75" x14ac:dyDescent="0.25">
      <c r="A33" s="66" t="s">
        <v>371</v>
      </c>
    </row>
    <row r="34" spans="1:1" x14ac:dyDescent="0.25">
      <c r="A34" s="61" t="s">
        <v>404</v>
      </c>
    </row>
    <row r="35" spans="1:1" x14ac:dyDescent="0.25">
      <c r="A35" s="62"/>
    </row>
    <row r="36" spans="1:1" ht="15.75" x14ac:dyDescent="0.25">
      <c r="A36" s="66" t="s">
        <v>405</v>
      </c>
    </row>
    <row r="37" spans="1:1" x14ac:dyDescent="0.25">
      <c r="A37" s="61" t="s">
        <v>384</v>
      </c>
    </row>
    <row r="38" spans="1:1" x14ac:dyDescent="0.25">
      <c r="A38" s="62"/>
    </row>
  </sheetData>
  <sheetProtection formatCells="0" formatColumns="0" formatRows="0" insertColumns="0" insertRows="0" insertHyperlinks="0" deleteColumns="0" deleteRows="0" sort="0" autoFilter="0" pivotTables="0"/>
  <customSheetViews>
    <customSheetView guid="{984CD521-F61A-4081-9FBE-1EFFB5F20A35}">
      <selection activeCell="C4" sqref="C4"/>
      <pageMargins left="0.75" right="0.75" top="1" bottom="1" header="0" footer="0"/>
      <pageSetup paperSize="9" orientation="portrait" horizontalDpi="4294967293" verticalDpi="0" r:id="rId1"/>
      <headerFooter alignWithMargins="0"/>
    </customSheetView>
  </customSheetViews>
  <phoneticPr fontId="15" type="noConversion"/>
  <pageMargins left="0.75" right="0.75" top="1" bottom="1" header="0" footer="0"/>
  <pageSetup paperSize="9" orientation="portrait" horizontalDpi="4294967293"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7"/>
  <sheetViews>
    <sheetView topLeftCell="A138" workbookViewId="0">
      <selection activeCell="K143" sqref="K143"/>
    </sheetView>
  </sheetViews>
  <sheetFormatPr baseColWidth="10" defaultRowHeight="14.25" x14ac:dyDescent="0.2"/>
  <cols>
    <col min="1" max="1" width="11.42578125" style="70"/>
    <col min="2" max="2" width="15.5703125" style="174" customWidth="1"/>
    <col min="3" max="4" width="11.42578125" style="70"/>
    <col min="5" max="5" width="15" style="174" customWidth="1"/>
    <col min="6" max="6" width="12.140625" style="70" customWidth="1"/>
    <col min="7" max="7" width="13" style="70" customWidth="1"/>
    <col min="8" max="8" width="12.140625" style="174" customWidth="1"/>
    <col min="9" max="9" width="15.85546875" style="70" bestFit="1" customWidth="1"/>
    <col min="10" max="10" width="4" style="70" customWidth="1"/>
    <col min="11" max="11" width="13.85546875" style="70" customWidth="1"/>
    <col min="12" max="12" width="18.7109375" style="70" customWidth="1"/>
    <col min="13" max="13" width="13.85546875" style="70" bestFit="1" customWidth="1"/>
    <col min="14" max="16384" width="11.42578125" style="70"/>
  </cols>
  <sheetData>
    <row r="2" spans="2:9" ht="30" customHeight="1" x14ac:dyDescent="0.25">
      <c r="B2" s="642" t="s">
        <v>1094</v>
      </c>
      <c r="C2" s="642"/>
      <c r="D2" s="642"/>
      <c r="E2" s="642"/>
      <c r="F2" s="642"/>
      <c r="G2" s="642"/>
      <c r="H2" s="642"/>
      <c r="I2" s="642"/>
    </row>
    <row r="4" spans="2:9" ht="63.75" customHeight="1" x14ac:dyDescent="0.2">
      <c r="B4" s="537" t="s">
        <v>1084</v>
      </c>
      <c r="C4" s="537"/>
      <c r="D4" s="537"/>
      <c r="E4" s="537"/>
      <c r="F4" s="537"/>
      <c r="G4" s="537"/>
      <c r="H4" s="537"/>
      <c r="I4" s="537"/>
    </row>
    <row r="5" spans="2:9" ht="60" customHeight="1" x14ac:dyDescent="0.2">
      <c r="B5" s="623" t="s">
        <v>522</v>
      </c>
      <c r="C5" s="623"/>
      <c r="D5" s="623"/>
      <c r="E5" s="623"/>
      <c r="F5" s="623"/>
      <c r="G5" s="623"/>
      <c r="H5" s="623"/>
      <c r="I5" s="623"/>
    </row>
    <row r="7" spans="2:9" ht="30" customHeight="1" x14ac:dyDescent="0.2">
      <c r="B7" s="660" t="s">
        <v>523</v>
      </c>
      <c r="C7" s="660"/>
      <c r="D7" s="660"/>
      <c r="E7" s="660"/>
      <c r="F7" s="660"/>
      <c r="G7" s="660"/>
      <c r="H7" s="660"/>
      <c r="I7" s="660"/>
    </row>
    <row r="8" spans="2:9" ht="9.9499999999999993" customHeight="1" x14ac:dyDescent="0.2">
      <c r="B8" s="175"/>
      <c r="C8" s="172"/>
      <c r="D8" s="172"/>
      <c r="E8" s="175"/>
      <c r="F8" s="172"/>
      <c r="G8" s="172"/>
      <c r="H8" s="175"/>
      <c r="I8" s="172"/>
    </row>
    <row r="9" spans="2:9" ht="37.5" customHeight="1" x14ac:dyDescent="0.2">
      <c r="B9" s="661" t="s">
        <v>524</v>
      </c>
      <c r="C9" s="661"/>
      <c r="D9" s="661"/>
      <c r="E9" s="661"/>
      <c r="F9" s="661"/>
      <c r="G9" s="661"/>
      <c r="H9" s="661"/>
      <c r="I9" s="661"/>
    </row>
    <row r="10" spans="2:9" ht="9.9499999999999993" customHeight="1" x14ac:dyDescent="0.2">
      <c r="B10" s="176"/>
      <c r="C10" s="141"/>
      <c r="D10" s="141"/>
      <c r="E10" s="176"/>
      <c r="F10" s="141"/>
      <c r="G10" s="141"/>
      <c r="H10" s="176"/>
      <c r="I10" s="141"/>
    </row>
    <row r="11" spans="2:9" ht="75" customHeight="1" x14ac:dyDescent="0.2">
      <c r="B11" s="662" t="s">
        <v>525</v>
      </c>
      <c r="C11" s="662"/>
      <c r="D11" s="662"/>
      <c r="E11" s="662"/>
      <c r="F11" s="662"/>
      <c r="G11" s="662"/>
      <c r="H11" s="662"/>
      <c r="I11" s="662"/>
    </row>
    <row r="12" spans="2:9" ht="78" customHeight="1" x14ac:dyDescent="0.2">
      <c r="B12" s="663" t="s">
        <v>519</v>
      </c>
      <c r="C12" s="663"/>
      <c r="D12" s="663"/>
      <c r="E12" s="663"/>
      <c r="F12" s="663"/>
      <c r="G12" s="663"/>
      <c r="H12" s="663"/>
      <c r="I12" s="663"/>
    </row>
    <row r="13" spans="2:9" ht="12" customHeight="1" x14ac:dyDescent="0.2">
      <c r="B13" s="175"/>
      <c r="C13" s="172"/>
      <c r="D13" s="172"/>
      <c r="E13" s="175"/>
      <c r="F13" s="172"/>
      <c r="G13" s="172"/>
      <c r="H13" s="175"/>
      <c r="I13" s="172"/>
    </row>
    <row r="14" spans="2:9" ht="45" customHeight="1" x14ac:dyDescent="0.2">
      <c r="B14" s="662" t="s">
        <v>520</v>
      </c>
      <c r="C14" s="662"/>
      <c r="D14" s="662"/>
      <c r="E14" s="662"/>
      <c r="F14" s="662"/>
      <c r="G14" s="662"/>
      <c r="H14" s="662"/>
      <c r="I14" s="662"/>
    </row>
    <row r="15" spans="2:9" ht="30" customHeight="1" x14ac:dyDescent="0.2">
      <c r="B15" s="662" t="s">
        <v>521</v>
      </c>
      <c r="C15" s="662"/>
      <c r="D15" s="662"/>
      <c r="E15" s="662"/>
      <c r="F15" s="662"/>
      <c r="G15" s="662"/>
      <c r="H15" s="662"/>
      <c r="I15" s="662"/>
    </row>
    <row r="16" spans="2:9" ht="15" customHeight="1" x14ac:dyDescent="0.2">
      <c r="B16" s="231"/>
      <c r="C16" s="231"/>
      <c r="D16" s="231"/>
      <c r="E16" s="231"/>
      <c r="F16" s="231"/>
      <c r="G16" s="231"/>
      <c r="H16" s="231"/>
      <c r="I16" s="231"/>
    </row>
    <row r="17" spans="2:11" ht="15" customHeight="1" x14ac:dyDescent="0.2">
      <c r="B17" s="644" t="s">
        <v>861</v>
      </c>
      <c r="C17" s="644"/>
      <c r="D17" s="644"/>
      <c r="E17" s="644"/>
      <c r="F17" s="644"/>
      <c r="G17" s="644"/>
      <c r="H17" s="644"/>
      <c r="I17" s="644"/>
    </row>
    <row r="18" spans="2:11" ht="30" customHeight="1" x14ac:dyDescent="0.2">
      <c r="B18" s="533" t="s">
        <v>745</v>
      </c>
      <c r="C18" s="533"/>
      <c r="D18" s="533"/>
      <c r="E18" s="533"/>
      <c r="F18" s="533"/>
      <c r="G18" s="533"/>
      <c r="H18" s="533"/>
      <c r="I18" s="533"/>
    </row>
    <row r="19" spans="2:11" ht="15" customHeight="1" x14ac:dyDescent="0.2">
      <c r="B19" s="231"/>
      <c r="C19" s="231"/>
      <c r="D19" s="231"/>
      <c r="E19" s="231"/>
      <c r="F19" s="231"/>
      <c r="G19" s="231"/>
      <c r="H19" s="231"/>
      <c r="I19" s="231"/>
    </row>
    <row r="20" spans="2:11" ht="30" customHeight="1" x14ac:dyDescent="0.2">
      <c r="B20" s="655" t="s">
        <v>846</v>
      </c>
      <c r="C20" s="655"/>
      <c r="D20" s="655"/>
      <c r="E20" s="655"/>
      <c r="F20" s="655"/>
      <c r="G20" s="655"/>
      <c r="H20" s="655"/>
      <c r="I20" s="655"/>
    </row>
    <row r="21" spans="2:11" ht="15" customHeight="1" x14ac:dyDescent="0.2">
      <c r="B21" s="231"/>
      <c r="C21" s="231"/>
      <c r="D21" s="231"/>
      <c r="E21" s="231"/>
      <c r="F21" s="231"/>
      <c r="G21" s="231"/>
      <c r="H21" s="231"/>
      <c r="I21" s="231"/>
    </row>
    <row r="22" spans="2:11" ht="15" customHeight="1" x14ac:dyDescent="0.2">
      <c r="B22" s="656" t="s">
        <v>746</v>
      </c>
      <c r="C22" s="656"/>
      <c r="D22" s="656"/>
      <c r="E22" s="656"/>
      <c r="F22" s="656"/>
      <c r="G22" s="656"/>
      <c r="H22" s="656"/>
      <c r="I22" s="656"/>
    </row>
    <row r="23" spans="2:11" ht="15" customHeight="1" x14ac:dyDescent="0.2">
      <c r="B23" s="231"/>
      <c r="C23" s="231"/>
      <c r="D23" s="231"/>
      <c r="E23" s="231"/>
      <c r="F23" s="231"/>
      <c r="G23" s="231"/>
      <c r="H23" s="231"/>
      <c r="I23" s="231"/>
    </row>
    <row r="24" spans="2:11" ht="42" customHeight="1" x14ac:dyDescent="0.2">
      <c r="B24" s="639" t="s">
        <v>747</v>
      </c>
      <c r="C24" s="639"/>
      <c r="D24" s="639"/>
      <c r="E24" s="639"/>
      <c r="F24" s="639"/>
      <c r="G24" s="639"/>
      <c r="H24" s="639"/>
      <c r="I24" s="639"/>
    </row>
    <row r="26" spans="2:11" ht="30" customHeight="1" x14ac:dyDescent="0.2">
      <c r="B26" s="641" t="s">
        <v>748</v>
      </c>
      <c r="C26" s="641"/>
      <c r="D26" s="641"/>
      <c r="E26" s="641"/>
      <c r="F26" s="641"/>
      <c r="G26" s="641"/>
      <c r="H26" s="641"/>
      <c r="I26" s="641"/>
    </row>
    <row r="28" spans="2:11" ht="78" customHeight="1" x14ac:dyDescent="0.2">
      <c r="B28" s="664" t="s">
        <v>552</v>
      </c>
      <c r="C28" s="664"/>
      <c r="D28" s="664"/>
      <c r="E28" s="664"/>
      <c r="F28" s="664"/>
      <c r="G28" s="664"/>
      <c r="H28" s="664"/>
      <c r="I28" s="664"/>
      <c r="J28" s="410"/>
      <c r="K28" s="410"/>
    </row>
    <row r="30" spans="2:11" x14ac:dyDescent="0.2">
      <c r="B30" s="296"/>
      <c r="C30" s="290"/>
      <c r="D30" s="290"/>
      <c r="E30" s="297"/>
      <c r="F30" s="290"/>
      <c r="G30" s="290"/>
      <c r="H30" s="297"/>
      <c r="I30" s="290"/>
      <c r="J30" s="291"/>
    </row>
    <row r="31" spans="2:11" ht="15" x14ac:dyDescent="0.25">
      <c r="B31" s="657" t="s">
        <v>529</v>
      </c>
      <c r="C31" s="658"/>
      <c r="D31" s="658"/>
      <c r="E31" s="298"/>
      <c r="F31" s="299"/>
      <c r="G31" s="300"/>
      <c r="H31" s="301"/>
      <c r="I31" s="300"/>
      <c r="J31" s="292"/>
    </row>
    <row r="32" spans="2:11" ht="15" x14ac:dyDescent="0.25">
      <c r="B32" s="665" t="s">
        <v>526</v>
      </c>
      <c r="C32" s="647"/>
      <c r="D32" s="300"/>
      <c r="E32" s="647" t="s">
        <v>527</v>
      </c>
      <c r="F32" s="647"/>
      <c r="G32" s="300"/>
      <c r="H32" s="647" t="s">
        <v>530</v>
      </c>
      <c r="I32" s="647"/>
      <c r="J32" s="292"/>
    </row>
    <row r="33" spans="2:13" ht="15.75" x14ac:dyDescent="0.25">
      <c r="B33" s="302">
        <v>1</v>
      </c>
      <c r="C33" s="343">
        <v>44600</v>
      </c>
      <c r="D33" s="300"/>
      <c r="E33" s="383">
        <v>1</v>
      </c>
      <c r="F33" s="511">
        <v>44658</v>
      </c>
      <c r="G33" s="300"/>
      <c r="H33" s="301">
        <v>1</v>
      </c>
      <c r="I33" s="344">
        <v>44719</v>
      </c>
      <c r="J33" s="292"/>
    </row>
    <row r="34" spans="2:13" ht="15.75" x14ac:dyDescent="0.25">
      <c r="B34" s="302">
        <f>B33+1</f>
        <v>2</v>
      </c>
      <c r="C34" s="343">
        <v>44601</v>
      </c>
      <c r="D34" s="300"/>
      <c r="E34" s="383">
        <f>E33+1</f>
        <v>2</v>
      </c>
      <c r="F34" s="511">
        <v>44659</v>
      </c>
      <c r="G34" s="300"/>
      <c r="H34" s="301">
        <f>H33+1</f>
        <v>2</v>
      </c>
      <c r="I34" s="344">
        <v>44720</v>
      </c>
      <c r="J34" s="292"/>
      <c r="M34" s="226"/>
    </row>
    <row r="35" spans="2:13" ht="15.75" x14ac:dyDescent="0.25">
      <c r="B35" s="302">
        <f t="shared" ref="B35:B41" si="0">B34+1</f>
        <v>3</v>
      </c>
      <c r="C35" s="343">
        <v>44602</v>
      </c>
      <c r="D35" s="300"/>
      <c r="E35" s="383">
        <f t="shared" ref="E35:E41" si="1">E34+1</f>
        <v>3</v>
      </c>
      <c r="F35" s="511">
        <v>44662</v>
      </c>
      <c r="G35" s="300"/>
      <c r="H35" s="301">
        <f t="shared" ref="H35:H41" si="2">H34+1</f>
        <v>3</v>
      </c>
      <c r="I35" s="344">
        <v>44721</v>
      </c>
      <c r="J35" s="292"/>
      <c r="M35" s="226"/>
    </row>
    <row r="36" spans="2:13" ht="15.75" x14ac:dyDescent="0.25">
      <c r="B36" s="302">
        <f t="shared" si="0"/>
        <v>4</v>
      </c>
      <c r="C36" s="343">
        <v>44603</v>
      </c>
      <c r="D36" s="300"/>
      <c r="E36" s="383">
        <f t="shared" si="1"/>
        <v>4</v>
      </c>
      <c r="F36" s="511">
        <v>44663</v>
      </c>
      <c r="G36" s="300"/>
      <c r="H36" s="301">
        <f t="shared" si="2"/>
        <v>4</v>
      </c>
      <c r="I36" s="344">
        <v>44722</v>
      </c>
      <c r="J36" s="292"/>
      <c r="M36" s="226"/>
    </row>
    <row r="37" spans="2:13" ht="15.75" x14ac:dyDescent="0.25">
      <c r="B37" s="302">
        <f t="shared" si="0"/>
        <v>5</v>
      </c>
      <c r="C37" s="343">
        <v>44606</v>
      </c>
      <c r="D37" s="300"/>
      <c r="E37" s="383">
        <f t="shared" si="1"/>
        <v>5</v>
      </c>
      <c r="F37" s="511">
        <v>44664</v>
      </c>
      <c r="G37" s="300"/>
      <c r="H37" s="301">
        <f t="shared" si="2"/>
        <v>5</v>
      </c>
      <c r="I37" s="344">
        <v>44725</v>
      </c>
      <c r="J37" s="292"/>
      <c r="M37" s="226"/>
    </row>
    <row r="38" spans="2:13" ht="15.75" x14ac:dyDescent="0.25">
      <c r="B38" s="302">
        <f t="shared" si="0"/>
        <v>6</v>
      </c>
      <c r="C38" s="343">
        <v>44607</v>
      </c>
      <c r="D38" s="300"/>
      <c r="E38" s="383">
        <f t="shared" si="1"/>
        <v>6</v>
      </c>
      <c r="F38" s="511">
        <v>44669</v>
      </c>
      <c r="G38" s="300"/>
      <c r="H38" s="301">
        <f t="shared" si="2"/>
        <v>6</v>
      </c>
      <c r="I38" s="344">
        <v>44726</v>
      </c>
      <c r="J38" s="292"/>
      <c r="M38" s="226"/>
    </row>
    <row r="39" spans="2:13" ht="15.75" x14ac:dyDescent="0.25">
      <c r="B39" s="302">
        <f t="shared" si="0"/>
        <v>7</v>
      </c>
      <c r="C39" s="343">
        <v>44608</v>
      </c>
      <c r="D39" s="300"/>
      <c r="E39" s="383">
        <f t="shared" si="1"/>
        <v>7</v>
      </c>
      <c r="F39" s="511">
        <v>44670</v>
      </c>
      <c r="G39" s="300"/>
      <c r="H39" s="301">
        <f t="shared" si="2"/>
        <v>7</v>
      </c>
      <c r="I39" s="344">
        <v>44727</v>
      </c>
      <c r="J39" s="292"/>
      <c r="M39" s="226"/>
    </row>
    <row r="40" spans="2:13" ht="15.75" x14ac:dyDescent="0.25">
      <c r="B40" s="302">
        <f t="shared" si="0"/>
        <v>8</v>
      </c>
      <c r="C40" s="343">
        <v>44609</v>
      </c>
      <c r="D40" s="300"/>
      <c r="E40" s="383">
        <f t="shared" si="1"/>
        <v>8</v>
      </c>
      <c r="F40" s="511">
        <v>44671</v>
      </c>
      <c r="G40" s="300"/>
      <c r="H40" s="301">
        <f t="shared" si="2"/>
        <v>8</v>
      </c>
      <c r="I40" s="344">
        <v>44728</v>
      </c>
      <c r="J40" s="292"/>
      <c r="M40" s="226"/>
    </row>
    <row r="41" spans="2:13" ht="15.75" x14ac:dyDescent="0.25">
      <c r="B41" s="302">
        <f t="shared" si="0"/>
        <v>9</v>
      </c>
      <c r="C41" s="343">
        <v>44610</v>
      </c>
      <c r="D41" s="300"/>
      <c r="E41" s="383">
        <f t="shared" si="1"/>
        <v>9</v>
      </c>
      <c r="F41" s="511">
        <v>44672</v>
      </c>
      <c r="G41" s="300"/>
      <c r="H41" s="301">
        <f t="shared" si="2"/>
        <v>9</v>
      </c>
      <c r="I41" s="344">
        <v>44729</v>
      </c>
      <c r="J41" s="292"/>
    </row>
    <row r="42" spans="2:13" ht="15.75" x14ac:dyDescent="0.25">
      <c r="B42" s="302">
        <v>0</v>
      </c>
      <c r="C42" s="343">
        <v>44613</v>
      </c>
      <c r="D42" s="300"/>
      <c r="E42" s="383">
        <v>0</v>
      </c>
      <c r="F42" s="511">
        <v>44673</v>
      </c>
      <c r="G42" s="300"/>
      <c r="H42" s="301">
        <v>0</v>
      </c>
      <c r="I42" s="344">
        <v>44733</v>
      </c>
      <c r="J42" s="292"/>
    </row>
    <row r="43" spans="2:13" x14ac:dyDescent="0.2">
      <c r="B43" s="303"/>
      <c r="C43" s="304"/>
      <c r="D43" s="294"/>
      <c r="E43" s="305"/>
      <c r="F43" s="304"/>
      <c r="G43" s="294"/>
      <c r="H43" s="305"/>
      <c r="I43" s="304"/>
      <c r="J43" s="295"/>
    </row>
    <row r="44" spans="2:13" x14ac:dyDescent="0.2">
      <c r="B44" s="306"/>
      <c r="C44" s="307"/>
      <c r="D44" s="308"/>
      <c r="E44" s="306"/>
      <c r="F44" s="307"/>
      <c r="G44" s="308"/>
      <c r="H44" s="306"/>
      <c r="I44" s="307"/>
      <c r="J44" s="308"/>
    </row>
    <row r="45" spans="2:13" ht="30" customHeight="1" x14ac:dyDescent="0.25">
      <c r="B45" s="653" t="s">
        <v>1085</v>
      </c>
      <c r="C45" s="653"/>
      <c r="D45" s="653"/>
      <c r="E45" s="653"/>
      <c r="F45" s="653"/>
      <c r="G45" s="653"/>
      <c r="H45" s="653"/>
      <c r="I45" s="653"/>
      <c r="K45" s="395">
        <v>2000</v>
      </c>
      <c r="L45" s="396">
        <f>K45*36308</f>
        <v>72616000</v>
      </c>
    </row>
    <row r="47" spans="2:13" ht="15" x14ac:dyDescent="0.25">
      <c r="B47" s="651" t="s">
        <v>728</v>
      </c>
      <c r="C47" s="651"/>
      <c r="D47" s="651"/>
      <c r="E47" s="651"/>
      <c r="F47" s="651"/>
      <c r="G47" s="651"/>
      <c r="H47" s="651"/>
      <c r="I47" s="651"/>
    </row>
    <row r="48" spans="2:13" ht="15" x14ac:dyDescent="0.25">
      <c r="B48" s="403" t="s">
        <v>729</v>
      </c>
      <c r="C48" s="403"/>
      <c r="D48" s="403"/>
      <c r="E48" s="403"/>
      <c r="F48" s="403"/>
      <c r="G48" s="404"/>
      <c r="H48" s="405"/>
      <c r="I48" s="405"/>
    </row>
    <row r="49" spans="2:13" x14ac:dyDescent="0.2">
      <c r="B49" s="403" t="s">
        <v>730</v>
      </c>
      <c r="C49" s="403"/>
      <c r="D49" s="403"/>
      <c r="E49" s="403"/>
      <c r="F49" s="403"/>
      <c r="G49" s="404"/>
      <c r="H49" s="406"/>
      <c r="I49" s="407"/>
    </row>
    <row r="51" spans="2:13" ht="15" x14ac:dyDescent="0.25">
      <c r="B51" s="646" t="s">
        <v>528</v>
      </c>
      <c r="C51" s="646"/>
      <c r="D51" s="646"/>
      <c r="E51" s="646"/>
      <c r="F51" s="646"/>
      <c r="G51" s="646"/>
      <c r="H51" s="646"/>
      <c r="I51" s="646"/>
    </row>
    <row r="53" spans="2:13" ht="15" x14ac:dyDescent="0.25">
      <c r="B53" s="648" t="s">
        <v>553</v>
      </c>
      <c r="C53" s="648"/>
      <c r="D53" s="648"/>
      <c r="E53" s="648"/>
      <c r="F53" s="648"/>
      <c r="H53" s="648" t="s">
        <v>531</v>
      </c>
      <c r="I53" s="648"/>
    </row>
    <row r="54" spans="2:13" ht="15" x14ac:dyDescent="0.25">
      <c r="B54" s="349" t="s">
        <v>542</v>
      </c>
      <c r="C54" s="350">
        <v>44658</v>
      </c>
      <c r="D54" s="259"/>
      <c r="E54" s="349" t="s">
        <v>532</v>
      </c>
      <c r="F54" s="350">
        <v>44676</v>
      </c>
      <c r="H54" s="349">
        <v>1</v>
      </c>
      <c r="I54" s="350">
        <v>44750</v>
      </c>
      <c r="M54" s="174"/>
    </row>
    <row r="55" spans="2:13" ht="15" x14ac:dyDescent="0.25">
      <c r="B55" s="349" t="s">
        <v>543</v>
      </c>
      <c r="C55" s="350">
        <v>44659</v>
      </c>
      <c r="D55" s="259"/>
      <c r="E55" s="349" t="s">
        <v>533</v>
      </c>
      <c r="F55" s="350">
        <v>44677</v>
      </c>
      <c r="H55" s="349">
        <f>H54+1</f>
        <v>2</v>
      </c>
      <c r="I55" s="350">
        <v>44753</v>
      </c>
      <c r="M55" s="174"/>
    </row>
    <row r="56" spans="2:13" ht="15" x14ac:dyDescent="0.25">
      <c r="B56" s="349" t="s">
        <v>544</v>
      </c>
      <c r="C56" s="350">
        <v>44662</v>
      </c>
      <c r="D56" s="259"/>
      <c r="E56" s="349" t="s">
        <v>534</v>
      </c>
      <c r="F56" s="350">
        <v>44678</v>
      </c>
      <c r="H56" s="349">
        <f t="shared" ref="H56:H62" si="3">H55+1</f>
        <v>3</v>
      </c>
      <c r="I56" s="350">
        <v>44754</v>
      </c>
      <c r="M56" s="174"/>
    </row>
    <row r="57" spans="2:13" ht="15" x14ac:dyDescent="0.25">
      <c r="B57" s="349" t="s">
        <v>545</v>
      </c>
      <c r="C57" s="350">
        <v>44663</v>
      </c>
      <c r="D57" s="259"/>
      <c r="E57" s="349" t="s">
        <v>535</v>
      </c>
      <c r="F57" s="350">
        <v>44679</v>
      </c>
      <c r="H57" s="349">
        <f t="shared" si="3"/>
        <v>4</v>
      </c>
      <c r="I57" s="350">
        <v>44755</v>
      </c>
      <c r="M57" s="174"/>
    </row>
    <row r="58" spans="2:13" ht="15" x14ac:dyDescent="0.25">
      <c r="B58" s="349" t="s">
        <v>546</v>
      </c>
      <c r="C58" s="350">
        <v>44664</v>
      </c>
      <c r="D58" s="259"/>
      <c r="E58" s="349" t="s">
        <v>536</v>
      </c>
      <c r="F58" s="350">
        <v>44680</v>
      </c>
      <c r="H58" s="349">
        <f t="shared" si="3"/>
        <v>5</v>
      </c>
      <c r="I58" s="350">
        <v>44756</v>
      </c>
      <c r="M58" s="174"/>
    </row>
    <row r="59" spans="2:13" ht="15" x14ac:dyDescent="0.25">
      <c r="B59" s="349" t="s">
        <v>547</v>
      </c>
      <c r="C59" s="350">
        <v>44669</v>
      </c>
      <c r="D59" s="259"/>
      <c r="E59" s="349" t="s">
        <v>537</v>
      </c>
      <c r="F59" s="350">
        <v>44683</v>
      </c>
      <c r="H59" s="349">
        <f t="shared" si="3"/>
        <v>6</v>
      </c>
      <c r="I59" s="350">
        <v>44757</v>
      </c>
      <c r="M59" s="174"/>
    </row>
    <row r="60" spans="2:13" ht="15" x14ac:dyDescent="0.25">
      <c r="B60" s="349" t="s">
        <v>548</v>
      </c>
      <c r="C60" s="350">
        <v>44670</v>
      </c>
      <c r="D60" s="259"/>
      <c r="E60" s="349" t="s">
        <v>538</v>
      </c>
      <c r="F60" s="350">
        <v>44684</v>
      </c>
      <c r="H60" s="349">
        <f t="shared" si="3"/>
        <v>7</v>
      </c>
      <c r="I60" s="350">
        <v>44760</v>
      </c>
      <c r="M60" s="174"/>
    </row>
    <row r="61" spans="2:13" ht="15" x14ac:dyDescent="0.25">
      <c r="B61" s="349" t="s">
        <v>549</v>
      </c>
      <c r="C61" s="350">
        <v>44671</v>
      </c>
      <c r="D61" s="259"/>
      <c r="E61" s="349" t="s">
        <v>539</v>
      </c>
      <c r="F61" s="350">
        <v>44685</v>
      </c>
      <c r="H61" s="349">
        <f t="shared" si="3"/>
        <v>8</v>
      </c>
      <c r="I61" s="350">
        <v>44761</v>
      </c>
      <c r="M61" s="174"/>
    </row>
    <row r="62" spans="2:13" ht="15" x14ac:dyDescent="0.25">
      <c r="B62" s="349" t="s">
        <v>550</v>
      </c>
      <c r="C62" s="350">
        <v>44672</v>
      </c>
      <c r="D62" s="259"/>
      <c r="E62" s="349" t="s">
        <v>540</v>
      </c>
      <c r="F62" s="350">
        <v>44686</v>
      </c>
      <c r="H62" s="349">
        <f t="shared" si="3"/>
        <v>9</v>
      </c>
      <c r="I62" s="350">
        <v>44763</v>
      </c>
      <c r="M62" s="174"/>
    </row>
    <row r="63" spans="2:13" ht="15" x14ac:dyDescent="0.25">
      <c r="B63" s="349" t="s">
        <v>551</v>
      </c>
      <c r="C63" s="350">
        <v>44673</v>
      </c>
      <c r="D63" s="259"/>
      <c r="E63" s="349" t="s">
        <v>541</v>
      </c>
      <c r="F63" s="350">
        <v>44687</v>
      </c>
      <c r="H63" s="349">
        <v>0</v>
      </c>
      <c r="I63" s="350">
        <v>44764</v>
      </c>
      <c r="M63" s="174"/>
    </row>
    <row r="65" spans="2:14" ht="15.75" x14ac:dyDescent="0.25">
      <c r="B65" s="654" t="s">
        <v>732</v>
      </c>
      <c r="C65" s="654"/>
      <c r="D65" s="654"/>
      <c r="E65" s="654"/>
      <c r="F65" s="654"/>
      <c r="G65" s="654"/>
      <c r="H65" s="654"/>
      <c r="I65" s="654"/>
    </row>
    <row r="66" spans="2:14" x14ac:dyDescent="0.2">
      <c r="B66" s="70"/>
      <c r="E66" s="70"/>
      <c r="H66" s="70"/>
    </row>
    <row r="67" spans="2:14" ht="15" x14ac:dyDescent="0.25">
      <c r="B67" s="659" t="s">
        <v>554</v>
      </c>
      <c r="C67" s="659"/>
      <c r="D67" s="659"/>
      <c r="E67" s="659"/>
      <c r="F67" s="659"/>
      <c r="G67" s="659"/>
      <c r="H67" s="659"/>
      <c r="I67" s="659"/>
    </row>
    <row r="68" spans="2:14" ht="15" x14ac:dyDescent="0.25">
      <c r="B68" s="258" t="s">
        <v>572</v>
      </c>
      <c r="C68" s="695">
        <v>44782</v>
      </c>
      <c r="D68" s="147"/>
      <c r="E68" s="696" t="s">
        <v>588</v>
      </c>
      <c r="F68" s="695">
        <v>44806</v>
      </c>
      <c r="G68" s="147"/>
      <c r="H68" s="696" t="s">
        <v>570</v>
      </c>
      <c r="I68" s="695">
        <v>44831</v>
      </c>
      <c r="L68" s="174"/>
      <c r="M68" s="174"/>
      <c r="N68" s="174"/>
    </row>
    <row r="69" spans="2:14" ht="15" x14ac:dyDescent="0.25">
      <c r="B69" s="258" t="s">
        <v>573</v>
      </c>
      <c r="C69" s="695">
        <v>44783</v>
      </c>
      <c r="D69" s="147"/>
      <c r="E69" s="696" t="s">
        <v>589</v>
      </c>
      <c r="F69" s="695">
        <v>44809</v>
      </c>
      <c r="G69" s="147"/>
      <c r="H69" s="696" t="s">
        <v>569</v>
      </c>
      <c r="I69" s="695">
        <v>44832</v>
      </c>
      <c r="L69" s="174"/>
      <c r="M69" s="174"/>
      <c r="N69" s="174"/>
    </row>
    <row r="70" spans="2:14" ht="15" x14ac:dyDescent="0.25">
      <c r="B70" s="258" t="s">
        <v>574</v>
      </c>
      <c r="C70" s="695">
        <v>44784</v>
      </c>
      <c r="D70" s="147"/>
      <c r="E70" s="696" t="s">
        <v>590</v>
      </c>
      <c r="F70" s="695">
        <v>44810</v>
      </c>
      <c r="G70" s="147"/>
      <c r="H70" s="696" t="s">
        <v>557</v>
      </c>
      <c r="I70" s="695">
        <v>44833</v>
      </c>
      <c r="L70" s="174"/>
      <c r="M70" s="174"/>
      <c r="N70" s="174"/>
    </row>
    <row r="71" spans="2:14" ht="15" x14ac:dyDescent="0.25">
      <c r="B71" s="258" t="s">
        <v>575</v>
      </c>
      <c r="C71" s="695">
        <v>44785</v>
      </c>
      <c r="D71" s="147"/>
      <c r="E71" s="696" t="s">
        <v>591</v>
      </c>
      <c r="F71" s="695">
        <v>44811</v>
      </c>
      <c r="G71" s="147"/>
      <c r="H71" s="696" t="s">
        <v>558</v>
      </c>
      <c r="I71" s="695">
        <v>44834</v>
      </c>
      <c r="L71" s="174"/>
      <c r="M71" s="174"/>
      <c r="N71" s="174"/>
    </row>
    <row r="72" spans="2:14" ht="15" x14ac:dyDescent="0.25">
      <c r="B72" s="258" t="s">
        <v>576</v>
      </c>
      <c r="C72" s="695">
        <v>44789</v>
      </c>
      <c r="D72" s="147"/>
      <c r="E72" s="696" t="s">
        <v>592</v>
      </c>
      <c r="F72" s="695">
        <v>44812</v>
      </c>
      <c r="G72" s="147"/>
      <c r="H72" s="696" t="s">
        <v>559</v>
      </c>
      <c r="I72" s="695">
        <v>44837</v>
      </c>
      <c r="L72" s="310"/>
      <c r="M72" s="174"/>
      <c r="N72" s="174"/>
    </row>
    <row r="73" spans="2:14" ht="15" x14ac:dyDescent="0.25">
      <c r="B73" s="258" t="s">
        <v>577</v>
      </c>
      <c r="C73" s="695">
        <v>44790</v>
      </c>
      <c r="D73" s="147"/>
      <c r="E73" s="696" t="s">
        <v>593</v>
      </c>
      <c r="F73" s="695">
        <v>44813</v>
      </c>
      <c r="G73" s="147"/>
      <c r="H73" s="696" t="s">
        <v>560</v>
      </c>
      <c r="I73" s="695">
        <v>44838</v>
      </c>
      <c r="L73" s="174"/>
      <c r="M73" s="174"/>
      <c r="N73" s="174"/>
    </row>
    <row r="74" spans="2:14" ht="15" x14ac:dyDescent="0.25">
      <c r="B74" s="258" t="s">
        <v>578</v>
      </c>
      <c r="C74" s="695">
        <v>44791</v>
      </c>
      <c r="D74" s="147"/>
      <c r="E74" s="696" t="s">
        <v>594</v>
      </c>
      <c r="F74" s="695">
        <v>44816</v>
      </c>
      <c r="G74" s="147"/>
      <c r="H74" s="696" t="s">
        <v>561</v>
      </c>
      <c r="I74" s="695">
        <v>44839</v>
      </c>
      <c r="L74" s="174"/>
      <c r="M74" s="174"/>
      <c r="N74" s="174"/>
    </row>
    <row r="75" spans="2:14" ht="15" x14ac:dyDescent="0.25">
      <c r="B75" s="258" t="s">
        <v>579</v>
      </c>
      <c r="C75" s="695">
        <v>44792</v>
      </c>
      <c r="D75" s="147"/>
      <c r="E75" s="696" t="s">
        <v>595</v>
      </c>
      <c r="F75" s="695">
        <v>44817</v>
      </c>
      <c r="G75" s="147"/>
      <c r="H75" s="696" t="s">
        <v>562</v>
      </c>
      <c r="I75" s="695">
        <v>44840</v>
      </c>
      <c r="L75" s="377"/>
      <c r="M75" s="174"/>
      <c r="N75" s="174"/>
    </row>
    <row r="76" spans="2:14" ht="15" x14ac:dyDescent="0.25">
      <c r="B76" s="258" t="s">
        <v>580</v>
      </c>
      <c r="C76" s="695">
        <v>44795</v>
      </c>
      <c r="D76" s="147"/>
      <c r="E76" s="696" t="s">
        <v>596</v>
      </c>
      <c r="F76" s="695">
        <v>44818</v>
      </c>
      <c r="G76" s="147"/>
      <c r="H76" s="696" t="s">
        <v>563</v>
      </c>
      <c r="I76" s="695">
        <v>44841</v>
      </c>
      <c r="L76" s="174"/>
      <c r="M76" s="174"/>
      <c r="N76" s="174"/>
    </row>
    <row r="77" spans="2:14" ht="15" x14ac:dyDescent="0.25">
      <c r="B77" s="258" t="s">
        <v>581</v>
      </c>
      <c r="C77" s="695">
        <v>44796</v>
      </c>
      <c r="D77" s="147"/>
      <c r="E77" s="696" t="s">
        <v>597</v>
      </c>
      <c r="F77" s="695">
        <v>44819</v>
      </c>
      <c r="G77" s="147"/>
      <c r="H77" s="696" t="s">
        <v>564</v>
      </c>
      <c r="I77" s="695">
        <v>44844</v>
      </c>
      <c r="L77" s="174"/>
      <c r="M77" s="174"/>
      <c r="N77" s="174"/>
    </row>
    <row r="78" spans="2:14" ht="15" x14ac:dyDescent="0.25">
      <c r="B78" s="258" t="s">
        <v>582</v>
      </c>
      <c r="C78" s="695">
        <v>44797</v>
      </c>
      <c r="D78" s="147"/>
      <c r="E78" s="696" t="s">
        <v>598</v>
      </c>
      <c r="F78" s="695">
        <v>44820</v>
      </c>
      <c r="G78" s="147"/>
      <c r="H78" s="696" t="s">
        <v>565</v>
      </c>
      <c r="I78" s="695">
        <v>44845</v>
      </c>
      <c r="L78" s="174"/>
      <c r="M78" s="174"/>
      <c r="N78" s="174"/>
    </row>
    <row r="79" spans="2:14" ht="15" x14ac:dyDescent="0.25">
      <c r="B79" s="258" t="s">
        <v>583</v>
      </c>
      <c r="C79" s="695">
        <v>44798</v>
      </c>
      <c r="D79" s="147"/>
      <c r="E79" s="696" t="s">
        <v>599</v>
      </c>
      <c r="F79" s="695">
        <v>44823</v>
      </c>
      <c r="G79" s="147"/>
      <c r="H79" s="696" t="s">
        <v>566</v>
      </c>
      <c r="I79" s="695">
        <v>44846</v>
      </c>
      <c r="L79" s="174"/>
      <c r="M79" s="174"/>
      <c r="N79" s="174"/>
    </row>
    <row r="80" spans="2:14" ht="15" x14ac:dyDescent="0.25">
      <c r="B80" s="258" t="s">
        <v>584</v>
      </c>
      <c r="C80" s="695">
        <v>44799</v>
      </c>
      <c r="D80" s="147"/>
      <c r="E80" s="696" t="s">
        <v>600</v>
      </c>
      <c r="F80" s="695">
        <v>44824</v>
      </c>
      <c r="G80" s="147"/>
      <c r="H80" s="696" t="s">
        <v>568</v>
      </c>
      <c r="I80" s="695">
        <v>44847</v>
      </c>
      <c r="L80" s="174"/>
      <c r="M80" s="174"/>
      <c r="N80" s="174"/>
    </row>
    <row r="81" spans="2:14" ht="15" x14ac:dyDescent="0.25">
      <c r="B81" s="258" t="s">
        <v>585</v>
      </c>
      <c r="C81" s="695">
        <v>44802</v>
      </c>
      <c r="D81" s="147"/>
      <c r="E81" s="696" t="s">
        <v>601</v>
      </c>
      <c r="F81" s="695">
        <v>44825</v>
      </c>
      <c r="G81" s="147"/>
      <c r="H81" s="696" t="s">
        <v>556</v>
      </c>
      <c r="I81" s="695">
        <v>44848</v>
      </c>
      <c r="L81" s="174"/>
      <c r="M81" s="174"/>
      <c r="N81" s="174"/>
    </row>
    <row r="82" spans="2:14" ht="15" x14ac:dyDescent="0.25">
      <c r="B82" s="258" t="s">
        <v>731</v>
      </c>
      <c r="C82" s="695">
        <v>44803</v>
      </c>
      <c r="D82" s="147"/>
      <c r="E82" s="696" t="s">
        <v>602</v>
      </c>
      <c r="F82" s="695">
        <v>44826</v>
      </c>
      <c r="G82" s="147"/>
      <c r="H82" s="696" t="s">
        <v>567</v>
      </c>
      <c r="I82" s="695">
        <v>44852</v>
      </c>
      <c r="L82" s="174"/>
      <c r="M82" s="174"/>
      <c r="N82" s="174"/>
    </row>
    <row r="83" spans="2:14" ht="15" x14ac:dyDescent="0.25">
      <c r="B83" s="258" t="s">
        <v>586</v>
      </c>
      <c r="C83" s="695">
        <v>44804</v>
      </c>
      <c r="D83" s="147"/>
      <c r="E83" s="696" t="s">
        <v>603</v>
      </c>
      <c r="F83" s="695">
        <v>44827</v>
      </c>
      <c r="G83" s="147"/>
      <c r="H83" s="696" t="s">
        <v>555</v>
      </c>
      <c r="I83" s="695">
        <v>44853</v>
      </c>
      <c r="L83" s="174"/>
      <c r="M83" s="174"/>
      <c r="N83" s="174"/>
    </row>
    <row r="84" spans="2:14" ht="15" x14ac:dyDescent="0.25">
      <c r="B84" s="258" t="s">
        <v>587</v>
      </c>
      <c r="C84" s="695">
        <v>44805</v>
      </c>
      <c r="D84" s="147"/>
      <c r="E84" s="696" t="s">
        <v>571</v>
      </c>
      <c r="F84" s="695">
        <v>44830</v>
      </c>
      <c r="G84" s="147"/>
      <c r="H84" s="696"/>
      <c r="I84" s="147"/>
      <c r="L84" s="174"/>
    </row>
    <row r="85" spans="2:14" ht="66.75" customHeight="1" x14ac:dyDescent="0.2">
      <c r="B85" s="650" t="s">
        <v>1087</v>
      </c>
      <c r="C85" s="650"/>
      <c r="D85" s="650"/>
      <c r="E85" s="650"/>
      <c r="F85" s="650"/>
      <c r="G85" s="650"/>
      <c r="H85" s="650"/>
      <c r="I85" s="650"/>
      <c r="L85" s="174"/>
    </row>
    <row r="86" spans="2:14" x14ac:dyDescent="0.2">
      <c r="C86" s="173"/>
      <c r="F86" s="173"/>
      <c r="L86" s="174"/>
    </row>
    <row r="87" spans="2:14" ht="15.75" x14ac:dyDescent="0.25">
      <c r="B87" s="654" t="s">
        <v>733</v>
      </c>
      <c r="C87" s="654"/>
      <c r="D87" s="654"/>
      <c r="E87" s="654"/>
      <c r="F87" s="654"/>
      <c r="G87" s="654"/>
      <c r="H87" s="654"/>
      <c r="I87" s="654"/>
      <c r="K87" s="378">
        <v>2000</v>
      </c>
      <c r="L87" s="174"/>
      <c r="M87" s="250">
        <f>K87*36308</f>
        <v>72616000</v>
      </c>
    </row>
    <row r="88" spans="2:14" x14ac:dyDescent="0.2">
      <c r="C88" s="173"/>
      <c r="F88" s="173"/>
      <c r="L88" s="174"/>
    </row>
    <row r="89" spans="2:14" ht="102" customHeight="1" x14ac:dyDescent="0.2">
      <c r="B89" s="542" t="s">
        <v>1086</v>
      </c>
      <c r="C89" s="542"/>
      <c r="D89" s="542"/>
      <c r="E89" s="542"/>
      <c r="F89" s="542"/>
      <c r="G89" s="542"/>
      <c r="H89" s="542"/>
      <c r="I89" s="542"/>
      <c r="L89" s="174"/>
    </row>
    <row r="90" spans="2:14" x14ac:dyDescent="0.2">
      <c r="C90" s="173"/>
      <c r="F90" s="173"/>
      <c r="L90" s="174"/>
    </row>
    <row r="92" spans="2:14" ht="112.5" customHeight="1" x14ac:dyDescent="0.2">
      <c r="B92" s="652" t="s">
        <v>1088</v>
      </c>
      <c r="C92" s="652"/>
      <c r="D92" s="652"/>
      <c r="E92" s="652"/>
      <c r="F92" s="652"/>
      <c r="G92" s="652"/>
      <c r="H92" s="652"/>
      <c r="I92" s="652"/>
    </row>
    <row r="93" spans="2:14" ht="15" x14ac:dyDescent="0.25">
      <c r="B93"/>
    </row>
    <row r="94" spans="2:14" ht="15" x14ac:dyDescent="0.25">
      <c r="B94"/>
    </row>
    <row r="95" spans="2:14" ht="15" x14ac:dyDescent="0.25">
      <c r="B95"/>
    </row>
    <row r="96" spans="2:14" ht="15" x14ac:dyDescent="0.25">
      <c r="B96"/>
    </row>
    <row r="97" spans="2:9" ht="15" x14ac:dyDescent="0.25">
      <c r="B97" s="649" t="s">
        <v>604</v>
      </c>
      <c r="C97" s="649"/>
      <c r="D97" s="649"/>
      <c r="E97" s="649"/>
      <c r="F97" s="649"/>
      <c r="G97" s="649"/>
      <c r="H97" s="649"/>
      <c r="I97" s="649"/>
    </row>
    <row r="98" spans="2:9" x14ac:dyDescent="0.2">
      <c r="B98" s="70"/>
      <c r="E98" s="70"/>
      <c r="H98" s="70"/>
    </row>
    <row r="99" spans="2:9" ht="79.5" customHeight="1" x14ac:dyDescent="0.2">
      <c r="B99" s="542" t="s">
        <v>1089</v>
      </c>
      <c r="C99" s="542"/>
      <c r="D99" s="542"/>
      <c r="E99" s="542"/>
      <c r="F99" s="542"/>
      <c r="G99" s="542"/>
      <c r="H99" s="542"/>
      <c r="I99" s="542"/>
    </row>
    <row r="100" spans="2:9" ht="9.9499999999999993" customHeight="1" x14ac:dyDescent="0.2">
      <c r="B100" s="476"/>
      <c r="C100" s="476"/>
      <c r="D100" s="476"/>
      <c r="E100" s="476"/>
      <c r="F100" s="476"/>
      <c r="G100" s="476"/>
      <c r="H100" s="476"/>
      <c r="I100" s="476"/>
    </row>
    <row r="101" spans="2:9" ht="49.5" customHeight="1" x14ac:dyDescent="0.2">
      <c r="B101" s="545" t="s">
        <v>1090</v>
      </c>
      <c r="C101" s="545"/>
      <c r="D101" s="545"/>
      <c r="E101" s="545"/>
      <c r="F101" s="545"/>
      <c r="G101" s="545"/>
      <c r="H101" s="545"/>
      <c r="I101" s="545"/>
    </row>
    <row r="102" spans="2:9" ht="15" customHeight="1" x14ac:dyDescent="0.2">
      <c r="B102" s="309"/>
      <c r="C102" s="309"/>
      <c r="D102" s="309"/>
      <c r="E102" s="309"/>
      <c r="F102" s="309"/>
      <c r="G102" s="309"/>
      <c r="H102" s="309"/>
      <c r="I102" s="309"/>
    </row>
    <row r="103" spans="2:9" ht="80.25" customHeight="1" x14ac:dyDescent="0.2">
      <c r="B103" s="650" t="s">
        <v>1091</v>
      </c>
      <c r="C103" s="650"/>
      <c r="D103" s="650"/>
      <c r="E103" s="650"/>
      <c r="F103" s="650"/>
      <c r="G103" s="650"/>
      <c r="H103" s="650"/>
      <c r="I103" s="650"/>
    </row>
    <row r="104" spans="2:9" ht="15" customHeight="1" x14ac:dyDescent="0.2">
      <c r="B104" s="476"/>
      <c r="C104" s="476"/>
      <c r="D104" s="476"/>
      <c r="E104" s="476"/>
      <c r="F104" s="476"/>
      <c r="G104" s="476"/>
      <c r="H104" s="476"/>
      <c r="I104" s="476"/>
    </row>
    <row r="105" spans="2:9" ht="72.75" customHeight="1" x14ac:dyDescent="0.2">
      <c r="B105" s="545" t="s">
        <v>1092</v>
      </c>
      <c r="C105" s="545"/>
      <c r="D105" s="545"/>
      <c r="E105" s="545"/>
      <c r="F105" s="545"/>
      <c r="G105" s="545"/>
      <c r="H105" s="545"/>
      <c r="I105" s="545"/>
    </row>
    <row r="106" spans="2:9" ht="15" customHeight="1" x14ac:dyDescent="0.2">
      <c r="B106" s="476"/>
      <c r="C106" s="476"/>
      <c r="D106" s="476"/>
      <c r="E106" s="476"/>
      <c r="F106" s="476"/>
      <c r="G106" s="476"/>
      <c r="H106" s="476"/>
      <c r="I106" s="476"/>
    </row>
    <row r="107" spans="2:9" ht="84" customHeight="1" x14ac:dyDescent="0.2">
      <c r="B107" s="666" t="s">
        <v>1093</v>
      </c>
      <c r="C107" s="666"/>
      <c r="D107" s="666"/>
      <c r="E107" s="666"/>
      <c r="F107" s="666"/>
      <c r="G107" s="666"/>
      <c r="H107" s="666"/>
      <c r="I107" s="666"/>
    </row>
    <row r="108" spans="2:9" ht="15" customHeight="1" x14ac:dyDescent="0.2">
      <c r="B108" s="476"/>
      <c r="C108" s="476"/>
      <c r="D108" s="476"/>
      <c r="E108" s="476"/>
      <c r="F108" s="476"/>
      <c r="G108" s="476"/>
      <c r="H108" s="476"/>
      <c r="I108" s="476"/>
    </row>
    <row r="109" spans="2:9" ht="15" x14ac:dyDescent="0.25">
      <c r="B109" s="645" t="s">
        <v>605</v>
      </c>
      <c r="C109" s="645"/>
      <c r="D109" s="645"/>
      <c r="E109" s="645"/>
      <c r="F109" s="645"/>
      <c r="G109" s="645"/>
      <c r="H109" s="645"/>
      <c r="I109" s="645"/>
    </row>
    <row r="111" spans="2:9" ht="15" x14ac:dyDescent="0.25">
      <c r="B111" s="180"/>
      <c r="C111" s="180"/>
      <c r="D111" s="180"/>
      <c r="E111" s="180"/>
      <c r="F111" s="180"/>
      <c r="G111" s="180"/>
      <c r="H111" s="180"/>
      <c r="I111" s="180"/>
    </row>
    <row r="112" spans="2:9" ht="30" customHeight="1" x14ac:dyDescent="0.25">
      <c r="B112" s="642" t="s">
        <v>639</v>
      </c>
      <c r="C112" s="642"/>
      <c r="D112" s="642"/>
      <c r="E112" s="642"/>
      <c r="F112" s="642"/>
      <c r="G112" s="642"/>
      <c r="H112" s="642"/>
      <c r="I112" s="642"/>
    </row>
    <row r="113" spans="2:9" ht="76.5" customHeight="1" x14ac:dyDescent="0.2">
      <c r="B113" s="542" t="s">
        <v>1095</v>
      </c>
      <c r="C113" s="542"/>
      <c r="D113" s="542"/>
      <c r="E113" s="542"/>
      <c r="F113" s="542"/>
      <c r="G113" s="542"/>
      <c r="H113" s="542"/>
      <c r="I113" s="542"/>
    </row>
    <row r="114" spans="2:9" ht="79.5" customHeight="1" x14ac:dyDescent="0.2">
      <c r="B114" s="542" t="s">
        <v>1096</v>
      </c>
      <c r="C114" s="542"/>
      <c r="D114" s="542"/>
      <c r="E114" s="542"/>
      <c r="F114" s="542"/>
      <c r="G114" s="542"/>
      <c r="H114" s="542"/>
      <c r="I114" s="542"/>
    </row>
    <row r="115" spans="2:9" ht="69.75" customHeight="1" x14ac:dyDescent="0.2">
      <c r="B115" s="542" t="s">
        <v>1097</v>
      </c>
      <c r="C115" s="542"/>
      <c r="D115" s="542"/>
      <c r="E115" s="542"/>
      <c r="F115" s="542"/>
      <c r="G115" s="542"/>
      <c r="H115" s="542"/>
      <c r="I115" s="542"/>
    </row>
    <row r="116" spans="2:9" ht="30" customHeight="1" x14ac:dyDescent="0.2">
      <c r="B116" s="545" t="s">
        <v>1098</v>
      </c>
      <c r="C116" s="545"/>
      <c r="D116" s="545"/>
      <c r="E116" s="545"/>
      <c r="F116" s="545"/>
      <c r="G116" s="545"/>
      <c r="H116" s="545"/>
      <c r="I116" s="545"/>
    </row>
    <row r="117" spans="2:9" ht="15" x14ac:dyDescent="0.25">
      <c r="B117" s="180"/>
      <c r="C117" s="180"/>
      <c r="D117" s="180"/>
      <c r="E117" s="180"/>
      <c r="F117" s="180"/>
      <c r="G117" s="180"/>
      <c r="H117" s="180"/>
      <c r="I117" s="180"/>
    </row>
    <row r="118" spans="2:9" ht="15" x14ac:dyDescent="0.25">
      <c r="B118" s="620" t="s">
        <v>621</v>
      </c>
      <c r="C118" s="620"/>
      <c r="D118" s="620"/>
      <c r="E118" s="620"/>
      <c r="F118" s="620"/>
      <c r="G118" s="620"/>
      <c r="H118" s="620"/>
      <c r="I118" s="620"/>
    </row>
    <row r="119" spans="2:9" ht="15" x14ac:dyDescent="0.25">
      <c r="B119" s="179"/>
      <c r="C119" s="179"/>
      <c r="D119" s="179"/>
      <c r="E119" s="179"/>
      <c r="F119" s="179"/>
      <c r="G119" s="179"/>
      <c r="H119" s="179"/>
      <c r="I119" s="179"/>
    </row>
    <row r="120" spans="2:9" ht="42.75" customHeight="1" x14ac:dyDescent="0.2">
      <c r="B120" s="635" t="s">
        <v>622</v>
      </c>
      <c r="C120" s="635"/>
      <c r="D120" s="635"/>
      <c r="E120" s="635"/>
      <c r="F120" s="635"/>
      <c r="G120" s="635"/>
      <c r="H120" s="635"/>
      <c r="I120" s="635"/>
    </row>
    <row r="121" spans="2:9" ht="30" customHeight="1" x14ac:dyDescent="0.25">
      <c r="B121" s="633" t="s">
        <v>623</v>
      </c>
      <c r="C121" s="633"/>
      <c r="D121" s="633"/>
      <c r="E121" s="633"/>
      <c r="F121" s="633"/>
      <c r="G121" s="633"/>
      <c r="H121" s="633"/>
      <c r="I121" s="633"/>
    </row>
    <row r="122" spans="2:9" ht="30" customHeight="1" x14ac:dyDescent="0.2">
      <c r="B122" s="634" t="s">
        <v>624</v>
      </c>
      <c r="C122" s="634"/>
      <c r="D122" s="634"/>
      <c r="E122" s="634"/>
      <c r="F122" s="634"/>
      <c r="G122" s="634"/>
      <c r="H122" s="634"/>
      <c r="I122" s="634"/>
    </row>
    <row r="123" spans="2:9" ht="90" customHeight="1" x14ac:dyDescent="0.2">
      <c r="B123" s="634" t="s">
        <v>630</v>
      </c>
      <c r="C123" s="634"/>
      <c r="D123" s="634"/>
      <c r="E123" s="634"/>
      <c r="F123" s="634"/>
      <c r="G123" s="634"/>
      <c r="H123" s="634"/>
      <c r="I123" s="634"/>
    </row>
    <row r="124" spans="2:9" ht="30" customHeight="1" x14ac:dyDescent="0.25">
      <c r="B124" s="633" t="s">
        <v>625</v>
      </c>
      <c r="C124" s="633"/>
      <c r="D124" s="633"/>
      <c r="E124" s="633"/>
      <c r="F124" s="633"/>
      <c r="G124" s="633"/>
      <c r="H124" s="633"/>
      <c r="I124" s="633"/>
    </row>
    <row r="125" spans="2:9" ht="15" customHeight="1" x14ac:dyDescent="0.25">
      <c r="B125" s="643" t="s">
        <v>626</v>
      </c>
      <c r="C125" s="643"/>
      <c r="D125" s="643"/>
      <c r="E125" s="643"/>
      <c r="F125" s="643"/>
      <c r="G125" s="643"/>
      <c r="H125" s="643"/>
      <c r="I125" s="643"/>
    </row>
    <row r="126" spans="2:9" ht="30" customHeight="1" x14ac:dyDescent="0.25">
      <c r="B126" s="633" t="s">
        <v>627</v>
      </c>
      <c r="C126" s="633"/>
      <c r="D126" s="633"/>
      <c r="E126" s="633"/>
      <c r="F126" s="633"/>
      <c r="G126" s="633"/>
      <c r="H126" s="633"/>
      <c r="I126" s="633"/>
    </row>
    <row r="127" spans="2:9" ht="45" customHeight="1" x14ac:dyDescent="0.25">
      <c r="B127" s="633" t="s">
        <v>628</v>
      </c>
      <c r="C127" s="633"/>
      <c r="D127" s="633"/>
      <c r="E127" s="633"/>
      <c r="F127" s="633"/>
      <c r="G127" s="633"/>
      <c r="H127" s="633"/>
      <c r="I127" s="633"/>
    </row>
    <row r="128" spans="2:9" ht="30" customHeight="1" x14ac:dyDescent="0.25">
      <c r="B128" s="633" t="s">
        <v>629</v>
      </c>
      <c r="C128" s="633"/>
      <c r="D128" s="633"/>
      <c r="E128" s="633"/>
      <c r="F128" s="633"/>
      <c r="G128" s="633"/>
      <c r="H128" s="633"/>
      <c r="I128" s="633"/>
    </row>
    <row r="129" spans="2:13" ht="15" x14ac:dyDescent="0.25">
      <c r="B129" s="180"/>
      <c r="C129" s="180"/>
      <c r="D129" s="180"/>
      <c r="E129" s="180"/>
      <c r="F129" s="180"/>
      <c r="G129" s="180"/>
      <c r="H129" s="180"/>
      <c r="I129" s="180"/>
    </row>
    <row r="130" spans="2:13" ht="15" x14ac:dyDescent="0.25">
      <c r="B130" s="620" t="s">
        <v>632</v>
      </c>
      <c r="C130" s="620"/>
      <c r="D130" s="620"/>
      <c r="E130" s="620"/>
      <c r="F130" s="620"/>
      <c r="G130" s="620"/>
      <c r="H130" s="620"/>
      <c r="I130" s="620"/>
    </row>
    <row r="131" spans="2:13" ht="30" customHeight="1" x14ac:dyDescent="0.25">
      <c r="B131" s="640" t="s">
        <v>633</v>
      </c>
      <c r="C131" s="640"/>
      <c r="D131" s="640"/>
      <c r="E131" s="640"/>
      <c r="F131" s="640"/>
      <c r="G131" s="640"/>
      <c r="H131" s="640"/>
      <c r="I131" s="640"/>
    </row>
    <row r="132" spans="2:13" ht="45" customHeight="1" x14ac:dyDescent="0.25">
      <c r="B132" s="633" t="s">
        <v>634</v>
      </c>
      <c r="C132" s="633"/>
      <c r="D132" s="633"/>
      <c r="E132" s="633"/>
      <c r="F132" s="633"/>
      <c r="G132" s="633"/>
      <c r="H132" s="633"/>
      <c r="I132" s="633"/>
    </row>
    <row r="133" spans="2:13" ht="60" customHeight="1" x14ac:dyDescent="0.25">
      <c r="B133" s="633" t="s">
        <v>635</v>
      </c>
      <c r="C133" s="633"/>
      <c r="D133" s="633"/>
      <c r="E133" s="633"/>
      <c r="F133" s="633"/>
      <c r="G133" s="633"/>
      <c r="H133" s="633"/>
      <c r="I133" s="633"/>
    </row>
    <row r="134" spans="2:13" ht="30" customHeight="1" x14ac:dyDescent="0.25">
      <c r="B134" s="633" t="s">
        <v>636</v>
      </c>
      <c r="C134" s="633"/>
      <c r="D134" s="633"/>
      <c r="E134" s="633"/>
      <c r="F134" s="633"/>
      <c r="G134" s="633"/>
      <c r="H134" s="633"/>
      <c r="I134" s="633"/>
    </row>
    <row r="135" spans="2:13" ht="30" customHeight="1" x14ac:dyDescent="0.25">
      <c r="B135" s="640" t="s">
        <v>637</v>
      </c>
      <c r="C135" s="640"/>
      <c r="D135" s="640"/>
      <c r="E135" s="640"/>
      <c r="F135" s="640"/>
      <c r="G135" s="640"/>
      <c r="H135" s="640"/>
      <c r="I135" s="640"/>
    </row>
    <row r="136" spans="2:13" ht="15" x14ac:dyDescent="0.25">
      <c r="B136" s="180"/>
      <c r="C136" s="180"/>
      <c r="D136" s="180"/>
      <c r="E136" s="180"/>
      <c r="F136" s="180"/>
      <c r="G136" s="180"/>
      <c r="H136" s="180"/>
      <c r="I136" s="180"/>
    </row>
    <row r="137" spans="2:13" x14ac:dyDescent="0.2">
      <c r="M137" s="70" t="s">
        <v>0</v>
      </c>
    </row>
    <row r="138" spans="2:13" ht="15" x14ac:dyDescent="0.25">
      <c r="B138" s="620" t="s">
        <v>612</v>
      </c>
      <c r="C138" s="620"/>
      <c r="D138" s="620"/>
      <c r="E138" s="620"/>
      <c r="F138" s="620"/>
      <c r="G138" s="620"/>
      <c r="H138" s="620"/>
      <c r="I138" s="620"/>
    </row>
    <row r="139" spans="2:13" ht="44.25" customHeight="1" x14ac:dyDescent="0.2">
      <c r="B139" s="637" t="s">
        <v>610</v>
      </c>
      <c r="C139" s="637"/>
      <c r="D139" s="637"/>
      <c r="E139" s="637"/>
      <c r="F139" s="637"/>
      <c r="G139" s="637"/>
      <c r="H139" s="637"/>
      <c r="I139" s="637"/>
    </row>
    <row r="140" spans="2:13" ht="78.75" customHeight="1" x14ac:dyDescent="0.2">
      <c r="B140" s="634" t="s">
        <v>611</v>
      </c>
      <c r="C140" s="634"/>
      <c r="D140" s="634"/>
      <c r="E140" s="634"/>
      <c r="F140" s="634"/>
      <c r="G140" s="634"/>
      <c r="H140" s="634"/>
      <c r="I140" s="634"/>
    </row>
    <row r="141" spans="2:13" ht="15" x14ac:dyDescent="0.25">
      <c r="B141" s="638" t="s">
        <v>1109</v>
      </c>
      <c r="C141" s="638"/>
      <c r="D141" s="638"/>
      <c r="E141" s="697">
        <f>36308*100000</f>
        <v>3630800000</v>
      </c>
      <c r="F141" s="697"/>
    </row>
    <row r="143" spans="2:13" ht="78.75" customHeight="1" x14ac:dyDescent="0.2">
      <c r="B143" s="537" t="s">
        <v>631</v>
      </c>
      <c r="C143" s="537"/>
      <c r="D143" s="537"/>
      <c r="E143" s="537"/>
      <c r="F143" s="537"/>
      <c r="G143" s="537"/>
      <c r="H143" s="537"/>
      <c r="I143" s="537"/>
    </row>
    <row r="144" spans="2:13" ht="15.75" x14ac:dyDescent="0.25">
      <c r="B144" s="544" t="s">
        <v>1063</v>
      </c>
      <c r="C144" s="544"/>
      <c r="D144" s="79"/>
      <c r="E144" s="45"/>
      <c r="F144" s="45"/>
      <c r="G144" s="45"/>
      <c r="H144" s="45"/>
    </row>
    <row r="145" spans="2:9" ht="15.75" x14ac:dyDescent="0.25">
      <c r="B145" s="575" t="s">
        <v>1065</v>
      </c>
      <c r="C145" s="575"/>
      <c r="D145" s="575"/>
      <c r="E145" s="45"/>
      <c r="F145" s="45"/>
      <c r="G145" s="45"/>
      <c r="H145" s="70"/>
      <c r="I145" s="177">
        <v>908526</v>
      </c>
    </row>
    <row r="146" spans="2:9" ht="15.75" x14ac:dyDescent="0.25">
      <c r="B146" s="575" t="s">
        <v>608</v>
      </c>
      <c r="C146" s="575"/>
      <c r="D146" s="575"/>
      <c r="E146" s="178">
        <v>5000</v>
      </c>
      <c r="F146" s="45"/>
      <c r="G146" s="45"/>
      <c r="H146" s="70"/>
      <c r="I146" s="177">
        <f>E146*I145</f>
        <v>4542630000</v>
      </c>
    </row>
    <row r="147" spans="2:9" ht="15.75" x14ac:dyDescent="0.25">
      <c r="B147" s="636" t="s">
        <v>609</v>
      </c>
      <c r="C147" s="636"/>
      <c r="D147" s="636"/>
      <c r="E147" s="271">
        <v>3000</v>
      </c>
      <c r="F147" s="318"/>
      <c r="G147" s="318"/>
      <c r="H147" s="259"/>
      <c r="I147" s="274">
        <f>E147*I145</f>
        <v>2725578000</v>
      </c>
    </row>
  </sheetData>
  <mergeCells count="69">
    <mergeCell ref="B116:I116"/>
    <mergeCell ref="B85:I85"/>
    <mergeCell ref="B99:I99"/>
    <mergeCell ref="B105:I105"/>
    <mergeCell ref="B107:I107"/>
    <mergeCell ref="B115:I115"/>
    <mergeCell ref="B31:D31"/>
    <mergeCell ref="B87:I87"/>
    <mergeCell ref="B67:I67"/>
    <mergeCell ref="B2:I2"/>
    <mergeCell ref="B7:I7"/>
    <mergeCell ref="B9:I9"/>
    <mergeCell ref="B11:I11"/>
    <mergeCell ref="B14:I14"/>
    <mergeCell ref="B5:I5"/>
    <mergeCell ref="B12:I12"/>
    <mergeCell ref="B4:I4"/>
    <mergeCell ref="B15:I15"/>
    <mergeCell ref="B28:I28"/>
    <mergeCell ref="B32:C32"/>
    <mergeCell ref="E32:F32"/>
    <mergeCell ref="B18:I18"/>
    <mergeCell ref="B17:I17"/>
    <mergeCell ref="B109:I109"/>
    <mergeCell ref="B51:I51"/>
    <mergeCell ref="H32:I32"/>
    <mergeCell ref="H53:I53"/>
    <mergeCell ref="B53:F53"/>
    <mergeCell ref="B97:I97"/>
    <mergeCell ref="B101:I101"/>
    <mergeCell ref="B103:I103"/>
    <mergeCell ref="B47:I47"/>
    <mergeCell ref="B92:I92"/>
    <mergeCell ref="B89:I89"/>
    <mergeCell ref="B45:I45"/>
    <mergeCell ref="B65:I65"/>
    <mergeCell ref="B20:I20"/>
    <mergeCell ref="B22:I22"/>
    <mergeCell ref="B24:I24"/>
    <mergeCell ref="B124:I124"/>
    <mergeCell ref="B146:D146"/>
    <mergeCell ref="B135:I135"/>
    <mergeCell ref="B132:I132"/>
    <mergeCell ref="B133:I133"/>
    <mergeCell ref="B134:I134"/>
    <mergeCell ref="B26:I26"/>
    <mergeCell ref="B112:I112"/>
    <mergeCell ref="B113:I113"/>
    <mergeCell ref="B114:I114"/>
    <mergeCell ref="B130:I130"/>
    <mergeCell ref="B131:I131"/>
    <mergeCell ref="B125:I125"/>
    <mergeCell ref="B126:I126"/>
    <mergeCell ref="B127:I127"/>
    <mergeCell ref="B147:D147"/>
    <mergeCell ref="B139:I139"/>
    <mergeCell ref="B140:I140"/>
    <mergeCell ref="B138:I138"/>
    <mergeCell ref="B141:D141"/>
    <mergeCell ref="E141:F141"/>
    <mergeCell ref="B143:I143"/>
    <mergeCell ref="B145:D145"/>
    <mergeCell ref="B144:C144"/>
    <mergeCell ref="B128:I128"/>
    <mergeCell ref="B123:I123"/>
    <mergeCell ref="B118:I118"/>
    <mergeCell ref="B120:I120"/>
    <mergeCell ref="B121:I121"/>
    <mergeCell ref="B122:I122"/>
  </mergeCells>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8"/>
  <sheetViews>
    <sheetView topLeftCell="A46" workbookViewId="0">
      <selection activeCell="K55" sqref="K55"/>
    </sheetView>
  </sheetViews>
  <sheetFormatPr baseColWidth="10" defaultRowHeight="15" x14ac:dyDescent="0.2"/>
  <cols>
    <col min="1" max="1" width="15.28515625" style="45" customWidth="1"/>
    <col min="2" max="2" width="19.85546875" style="45" customWidth="1"/>
    <col min="3" max="3" width="11.42578125" style="45"/>
    <col min="4" max="4" width="15.85546875" style="45" customWidth="1"/>
    <col min="5" max="5" width="11.42578125" style="45"/>
    <col min="6" max="6" width="12.7109375" style="45" bestFit="1" customWidth="1"/>
    <col min="7" max="7" width="11.42578125" style="45"/>
    <col min="8" max="8" width="13.85546875" style="45" customWidth="1"/>
    <col min="9" max="11" width="11.42578125" style="45"/>
    <col min="12" max="12" width="17.42578125" style="45" bestFit="1" customWidth="1"/>
    <col min="13" max="16384" width="11.42578125" style="45"/>
  </cols>
  <sheetData>
    <row r="2" spans="1:12" ht="37.5" customHeight="1" x14ac:dyDescent="0.2">
      <c r="A2" s="670" t="s">
        <v>862</v>
      </c>
      <c r="B2" s="670"/>
      <c r="C2" s="670"/>
      <c r="D2" s="670"/>
      <c r="E2" s="670"/>
      <c r="F2" s="670"/>
      <c r="G2" s="670"/>
      <c r="H2" s="670"/>
    </row>
    <row r="3" spans="1:12" ht="15.75" x14ac:dyDescent="0.25">
      <c r="A3" s="228"/>
      <c r="B3" s="228"/>
      <c r="C3" s="228"/>
      <c r="D3" s="228"/>
      <c r="E3" s="228"/>
      <c r="F3" s="228"/>
      <c r="G3" s="228"/>
      <c r="H3" s="228"/>
    </row>
    <row r="4" spans="1:12" ht="41.25" customHeight="1" x14ac:dyDescent="0.2">
      <c r="A4" s="669" t="s">
        <v>1100</v>
      </c>
      <c r="B4" s="669"/>
      <c r="C4" s="669"/>
      <c r="D4" s="669"/>
      <c r="E4" s="669"/>
      <c r="F4" s="669"/>
      <c r="G4" s="669"/>
      <c r="H4" s="669"/>
    </row>
    <row r="5" spans="1:12" ht="96" customHeight="1" x14ac:dyDescent="0.2">
      <c r="A5" s="542" t="s">
        <v>1099</v>
      </c>
      <c r="B5" s="542"/>
      <c r="C5" s="542"/>
      <c r="D5" s="542"/>
      <c r="E5" s="542"/>
      <c r="F5" s="542"/>
      <c r="G5" s="542"/>
      <c r="H5" s="542"/>
      <c r="L5" s="233"/>
    </row>
    <row r="6" spans="1:12" ht="98.25" customHeight="1" x14ac:dyDescent="0.2">
      <c r="A6" s="542" t="s">
        <v>1101</v>
      </c>
      <c r="B6" s="542"/>
      <c r="C6" s="542"/>
      <c r="D6" s="542"/>
      <c r="E6" s="542"/>
      <c r="F6" s="542"/>
      <c r="G6" s="542"/>
      <c r="H6" s="542"/>
      <c r="L6" s="233"/>
    </row>
    <row r="7" spans="1:12" ht="20.100000000000001" customHeight="1" x14ac:dyDescent="0.2">
      <c r="A7" s="673" t="s">
        <v>1103</v>
      </c>
      <c r="B7" s="673"/>
      <c r="C7" s="673"/>
      <c r="D7" s="673"/>
      <c r="E7" s="503"/>
      <c r="F7" s="503"/>
      <c r="G7" s="503"/>
      <c r="H7" s="503"/>
      <c r="L7" s="233"/>
    </row>
    <row r="8" spans="1:12" ht="20.100000000000001" customHeight="1" x14ac:dyDescent="0.25">
      <c r="A8" s="79" t="s">
        <v>1102</v>
      </c>
      <c r="B8" s="503"/>
      <c r="C8" s="503"/>
      <c r="D8" s="503"/>
      <c r="E8" s="503"/>
      <c r="F8" s="503"/>
      <c r="G8" s="503"/>
      <c r="H8" s="503"/>
      <c r="L8" s="233"/>
    </row>
    <row r="10" spans="1:12" ht="30" customHeight="1" x14ac:dyDescent="0.2">
      <c r="A10" s="671" t="s">
        <v>1104</v>
      </c>
      <c r="B10" s="671"/>
      <c r="C10" s="671"/>
      <c r="D10" s="671"/>
      <c r="E10" s="671"/>
      <c r="F10" s="671"/>
      <c r="G10" s="671"/>
      <c r="H10" s="671"/>
    </row>
    <row r="11" spans="1:12" ht="15.75" x14ac:dyDescent="0.25">
      <c r="A11" s="575" t="s">
        <v>1102</v>
      </c>
      <c r="B11" s="575"/>
      <c r="C11" s="575"/>
      <c r="D11" s="575"/>
      <c r="E11" s="575"/>
      <c r="F11" s="575"/>
      <c r="G11" s="575"/>
      <c r="H11" s="575"/>
    </row>
    <row r="12" spans="1:12" ht="15.75" x14ac:dyDescent="0.25">
      <c r="A12" s="79"/>
      <c r="D12" s="504"/>
      <c r="E12" s="504"/>
      <c r="F12" s="504"/>
      <c r="G12" s="504"/>
    </row>
    <row r="13" spans="1:12" ht="15.75" x14ac:dyDescent="0.25">
      <c r="A13" s="79"/>
      <c r="D13" s="228"/>
      <c r="E13" s="228"/>
      <c r="F13" s="228"/>
    </row>
    <row r="14" spans="1:12" ht="30" customHeight="1" x14ac:dyDescent="0.25">
      <c r="A14" s="672" t="s">
        <v>739</v>
      </c>
      <c r="B14" s="672"/>
      <c r="C14" s="672"/>
      <c r="D14" s="672"/>
      <c r="E14" s="672"/>
      <c r="F14" s="672"/>
      <c r="G14" s="672"/>
      <c r="H14" s="672"/>
    </row>
    <row r="15" spans="1:12" ht="15.75" x14ac:dyDescent="0.25">
      <c r="A15" s="575" t="s">
        <v>1105</v>
      </c>
      <c r="B15" s="575"/>
      <c r="C15" s="575"/>
      <c r="D15" s="575"/>
      <c r="E15" s="575"/>
      <c r="F15" s="575"/>
      <c r="G15" s="575"/>
      <c r="H15" s="575"/>
    </row>
    <row r="17" spans="1:8" ht="15.75" x14ac:dyDescent="0.25">
      <c r="A17" s="667" t="s">
        <v>613</v>
      </c>
      <c r="B17" s="667"/>
      <c r="C17" s="667"/>
      <c r="D17" s="667"/>
      <c r="E17" s="667"/>
      <c r="F17" s="667"/>
      <c r="G17" s="667"/>
      <c r="H17" s="667"/>
    </row>
    <row r="19" spans="1:8" ht="15.75" x14ac:dyDescent="0.25">
      <c r="A19" s="232" t="s">
        <v>614</v>
      </c>
      <c r="B19" s="232" t="s">
        <v>615</v>
      </c>
      <c r="C19" s="79" t="s">
        <v>616</v>
      </c>
      <c r="D19" s="178">
        <v>3275844000</v>
      </c>
      <c r="E19" s="676" t="s">
        <v>735</v>
      </c>
      <c r="F19" s="676"/>
    </row>
    <row r="20" spans="1:8" ht="15.75" x14ac:dyDescent="0.25">
      <c r="A20" s="79" t="s">
        <v>734</v>
      </c>
    </row>
    <row r="22" spans="1:8" ht="15.75" x14ac:dyDescent="0.25">
      <c r="A22" s="677" t="s">
        <v>617</v>
      </c>
      <c r="B22" s="677"/>
      <c r="C22" s="45" t="s">
        <v>618</v>
      </c>
    </row>
    <row r="23" spans="1:8" ht="15.75" x14ac:dyDescent="0.25">
      <c r="A23" s="79" t="s">
        <v>734</v>
      </c>
    </row>
    <row r="25" spans="1:8" ht="30" customHeight="1" x14ac:dyDescent="0.2">
      <c r="A25" s="528" t="s">
        <v>736</v>
      </c>
      <c r="B25" s="528"/>
      <c r="C25" s="528"/>
      <c r="D25" s="528"/>
      <c r="E25" s="528"/>
      <c r="F25" s="528"/>
      <c r="G25" s="528"/>
      <c r="H25" s="528"/>
    </row>
    <row r="26" spans="1:8" ht="15" customHeight="1" x14ac:dyDescent="0.2">
      <c r="A26" s="227"/>
      <c r="B26" s="227"/>
      <c r="C26" s="227"/>
      <c r="D26" s="227"/>
      <c r="E26" s="227"/>
      <c r="F26" s="227"/>
      <c r="G26" s="227"/>
      <c r="H26" s="227"/>
    </row>
    <row r="28" spans="1:8" ht="15.75" x14ac:dyDescent="0.25">
      <c r="A28" s="667" t="s">
        <v>620</v>
      </c>
      <c r="B28" s="667"/>
      <c r="C28" s="667"/>
      <c r="D28" s="667"/>
      <c r="E28" s="667"/>
      <c r="F28" s="667"/>
      <c r="G28" s="667"/>
      <c r="H28" s="667"/>
    </row>
    <row r="29" spans="1:8" ht="64.5" customHeight="1" x14ac:dyDescent="0.2">
      <c r="A29" s="542" t="s">
        <v>619</v>
      </c>
      <c r="B29" s="542"/>
      <c r="C29" s="542"/>
      <c r="D29" s="542"/>
      <c r="E29" s="542"/>
      <c r="F29" s="542"/>
      <c r="G29" s="542"/>
      <c r="H29" s="542"/>
    </row>
    <row r="30" spans="1:8" ht="15.75" x14ac:dyDescent="0.25">
      <c r="A30" s="79" t="s">
        <v>734</v>
      </c>
      <c r="D30" s="544" t="s">
        <v>640</v>
      </c>
      <c r="E30" s="544"/>
    </row>
    <row r="33" spans="1:8" ht="15.75" x14ac:dyDescent="0.25">
      <c r="A33" s="667" t="s">
        <v>638</v>
      </c>
      <c r="B33" s="667"/>
      <c r="C33" s="667"/>
      <c r="D33" s="667"/>
      <c r="E33" s="667"/>
      <c r="F33" s="667"/>
      <c r="G33" s="667"/>
      <c r="H33" s="667"/>
    </row>
    <row r="34" spans="1:8" ht="126" customHeight="1" x14ac:dyDescent="0.2">
      <c r="A34" s="678" t="s">
        <v>737</v>
      </c>
      <c r="B34" s="678"/>
      <c r="C34" s="678"/>
      <c r="D34" s="678"/>
      <c r="E34" s="678"/>
      <c r="F34" s="678"/>
      <c r="G34" s="678"/>
      <c r="H34" s="678"/>
    </row>
    <row r="35" spans="1:8" ht="15.75" x14ac:dyDescent="0.25">
      <c r="A35" s="79" t="s">
        <v>734</v>
      </c>
      <c r="D35" s="544" t="s">
        <v>641</v>
      </c>
      <c r="E35" s="544"/>
    </row>
    <row r="36" spans="1:8" ht="15.75" x14ac:dyDescent="0.25">
      <c r="A36" s="79"/>
      <c r="D36" s="228"/>
      <c r="E36" s="228"/>
    </row>
    <row r="37" spans="1:8" ht="43.5" customHeight="1" x14ac:dyDescent="0.2">
      <c r="A37" s="528" t="s">
        <v>738</v>
      </c>
      <c r="B37" s="528"/>
      <c r="C37" s="528"/>
      <c r="D37" s="528"/>
      <c r="E37" s="528"/>
      <c r="F37" s="528"/>
      <c r="G37" s="528"/>
      <c r="H37" s="528"/>
    </row>
    <row r="38" spans="1:8" ht="15" customHeight="1" x14ac:dyDescent="0.2">
      <c r="A38" s="227"/>
      <c r="B38" s="227"/>
      <c r="C38" s="227"/>
      <c r="D38" s="227"/>
      <c r="E38" s="227"/>
      <c r="F38" s="227"/>
      <c r="G38" s="227"/>
      <c r="H38" s="227"/>
    </row>
    <row r="39" spans="1:8" ht="15" customHeight="1" x14ac:dyDescent="0.2">
      <c r="A39" s="229"/>
      <c r="B39" s="229"/>
      <c r="C39" s="229"/>
      <c r="D39" s="229"/>
      <c r="E39" s="229"/>
      <c r="F39" s="229"/>
      <c r="G39" s="229"/>
      <c r="H39" s="229"/>
    </row>
    <row r="40" spans="1:8" ht="15" customHeight="1" x14ac:dyDescent="0.25">
      <c r="A40" s="667" t="s">
        <v>754</v>
      </c>
      <c r="B40" s="667"/>
      <c r="C40" s="667"/>
      <c r="D40" s="667"/>
      <c r="E40" s="667"/>
      <c r="F40" s="667"/>
      <c r="G40" s="667"/>
      <c r="H40" s="667"/>
    </row>
    <row r="41" spans="1:8" ht="60" customHeight="1" x14ac:dyDescent="0.2">
      <c r="A41" s="542" t="s">
        <v>755</v>
      </c>
      <c r="B41" s="542"/>
      <c r="C41" s="542"/>
      <c r="D41" s="542"/>
      <c r="E41" s="542"/>
      <c r="F41" s="542"/>
      <c r="G41" s="542"/>
      <c r="H41" s="542"/>
    </row>
    <row r="42" spans="1:8" ht="33.75" customHeight="1" x14ac:dyDescent="0.2">
      <c r="A42" s="528" t="s">
        <v>756</v>
      </c>
      <c r="B42" s="528"/>
      <c r="C42" s="528"/>
      <c r="D42" s="528"/>
      <c r="E42" s="528"/>
      <c r="F42" s="528"/>
      <c r="G42" s="528"/>
      <c r="H42" s="528"/>
    </row>
    <row r="43" spans="1:8" ht="15" customHeight="1" x14ac:dyDescent="0.2">
      <c r="A43" s="229"/>
      <c r="B43" s="229"/>
      <c r="C43" s="229"/>
      <c r="D43" s="229"/>
      <c r="E43" s="229"/>
      <c r="F43" s="229"/>
      <c r="G43" s="229"/>
      <c r="H43" s="229"/>
    </row>
    <row r="45" spans="1:8" ht="15.75" x14ac:dyDescent="0.25">
      <c r="A45" s="667" t="s">
        <v>642</v>
      </c>
      <c r="B45" s="667"/>
      <c r="C45" s="667"/>
      <c r="D45" s="667"/>
      <c r="E45" s="667"/>
      <c r="F45" s="667"/>
      <c r="G45" s="667"/>
      <c r="H45" s="667"/>
    </row>
    <row r="46" spans="1:8" ht="30" customHeight="1" x14ac:dyDescent="0.2">
      <c r="A46" s="528" t="s">
        <v>643</v>
      </c>
      <c r="B46" s="528"/>
      <c r="C46" s="528"/>
      <c r="D46" s="528"/>
      <c r="E46" s="528"/>
      <c r="F46" s="528"/>
      <c r="G46" s="528"/>
      <c r="H46" s="528"/>
    </row>
    <row r="47" spans="1:8" ht="15.75" x14ac:dyDescent="0.25">
      <c r="A47" s="544" t="s">
        <v>644</v>
      </c>
      <c r="B47" s="544"/>
    </row>
    <row r="50" spans="1:8" ht="15.75" x14ac:dyDescent="0.25">
      <c r="A50" s="667" t="s">
        <v>645</v>
      </c>
      <c r="B50" s="667"/>
      <c r="C50" s="667"/>
      <c r="D50" s="667"/>
      <c r="E50" s="667"/>
      <c r="F50" s="667"/>
      <c r="G50" s="667"/>
      <c r="H50" s="667"/>
    </row>
    <row r="51" spans="1:8" ht="78.75" customHeight="1" x14ac:dyDescent="0.2">
      <c r="A51" s="542" t="s">
        <v>646</v>
      </c>
      <c r="B51" s="542"/>
      <c r="C51" s="542"/>
      <c r="D51" s="542"/>
      <c r="E51" s="542"/>
      <c r="F51" s="542"/>
      <c r="G51" s="542"/>
      <c r="H51" s="542"/>
    </row>
    <row r="52" spans="1:8" ht="15.75" x14ac:dyDescent="0.25">
      <c r="A52" s="544" t="s">
        <v>647</v>
      </c>
      <c r="B52" s="544"/>
    </row>
    <row r="53" spans="1:8" ht="15.75" x14ac:dyDescent="0.25">
      <c r="A53" s="228"/>
      <c r="B53" s="228"/>
    </row>
    <row r="54" spans="1:8" ht="30" customHeight="1" x14ac:dyDescent="0.25">
      <c r="A54" s="668" t="s">
        <v>649</v>
      </c>
      <c r="B54" s="668"/>
      <c r="C54" s="668"/>
      <c r="D54" s="668"/>
      <c r="E54" s="668"/>
      <c r="F54" s="668"/>
      <c r="G54" s="668"/>
      <c r="H54" s="668"/>
    </row>
    <row r="55" spans="1:8" ht="61.5" customHeight="1" x14ac:dyDescent="0.2">
      <c r="A55" s="528" t="s">
        <v>648</v>
      </c>
      <c r="B55" s="528"/>
      <c r="C55" s="528"/>
      <c r="D55" s="528"/>
      <c r="E55" s="528"/>
      <c r="F55" s="528"/>
      <c r="G55" s="528"/>
      <c r="H55" s="528"/>
    </row>
    <row r="56" spans="1:8" ht="15.75" x14ac:dyDescent="0.25">
      <c r="A56" s="575" t="s">
        <v>650</v>
      </c>
      <c r="B56" s="575"/>
    </row>
    <row r="59" spans="1:8" ht="15.75" x14ac:dyDescent="0.25">
      <c r="A59" s="667" t="s">
        <v>651</v>
      </c>
      <c r="B59" s="667"/>
      <c r="C59" s="667"/>
      <c r="D59" s="667"/>
      <c r="E59" s="667"/>
      <c r="F59" s="667"/>
      <c r="G59" s="667"/>
      <c r="H59" s="667"/>
    </row>
    <row r="60" spans="1:8" ht="87.75" customHeight="1" x14ac:dyDescent="0.2">
      <c r="A60" s="679" t="s">
        <v>740</v>
      </c>
      <c r="B60" s="679"/>
      <c r="C60" s="679"/>
      <c r="D60" s="679"/>
      <c r="E60" s="679"/>
      <c r="F60" s="679"/>
      <c r="G60" s="679"/>
      <c r="H60" s="679"/>
    </row>
    <row r="62" spans="1:8" ht="30" customHeight="1" x14ac:dyDescent="0.2">
      <c r="A62" s="671" t="s">
        <v>741</v>
      </c>
      <c r="B62" s="671"/>
      <c r="C62" s="671"/>
      <c r="D62" s="671"/>
      <c r="E62" s="671"/>
      <c r="F62" s="671"/>
      <c r="G62" s="671"/>
      <c r="H62" s="671"/>
    </row>
    <row r="63" spans="1:8" x14ac:dyDescent="0.2">
      <c r="A63" s="280"/>
      <c r="B63" s="280"/>
      <c r="C63" s="280"/>
      <c r="D63" s="280"/>
      <c r="E63" s="280"/>
      <c r="F63" s="280"/>
      <c r="G63" s="280"/>
      <c r="H63" s="280"/>
    </row>
    <row r="64" spans="1:8" ht="45" customHeight="1" x14ac:dyDescent="0.2">
      <c r="A64" s="674" t="s">
        <v>742</v>
      </c>
      <c r="B64" s="674"/>
      <c r="C64" s="674"/>
      <c r="D64" s="674"/>
      <c r="E64" s="674"/>
      <c r="F64" s="674"/>
      <c r="G64" s="674"/>
      <c r="H64" s="674"/>
    </row>
    <row r="66" spans="1:8" ht="75.75" customHeight="1" x14ac:dyDescent="0.25">
      <c r="A66" s="675" t="s">
        <v>743</v>
      </c>
      <c r="B66" s="675"/>
      <c r="C66" s="675"/>
      <c r="D66" s="675"/>
      <c r="E66" s="675"/>
      <c r="F66" s="675"/>
      <c r="G66" s="675"/>
      <c r="H66" s="675"/>
    </row>
    <row r="68" spans="1:8" ht="57" customHeight="1" x14ac:dyDescent="0.2">
      <c r="A68" s="542" t="s">
        <v>744</v>
      </c>
      <c r="B68" s="542"/>
      <c r="C68" s="542"/>
      <c r="D68" s="542"/>
      <c r="E68" s="542"/>
      <c r="F68" s="542"/>
      <c r="G68" s="542"/>
      <c r="H68" s="542"/>
    </row>
  </sheetData>
  <mergeCells count="38">
    <mergeCell ref="A15:H15"/>
    <mergeCell ref="A64:H64"/>
    <mergeCell ref="A66:H66"/>
    <mergeCell ref="A68:H68"/>
    <mergeCell ref="E19:F19"/>
    <mergeCell ref="A22:B22"/>
    <mergeCell ref="A62:H62"/>
    <mergeCell ref="A34:H34"/>
    <mergeCell ref="D35:E35"/>
    <mergeCell ref="A37:H37"/>
    <mergeCell ref="A45:H45"/>
    <mergeCell ref="A46:H46"/>
    <mergeCell ref="A56:B56"/>
    <mergeCell ref="A59:H59"/>
    <mergeCell ref="A60:H60"/>
    <mergeCell ref="A47:B47"/>
    <mergeCell ref="A55:H55"/>
    <mergeCell ref="A54:H54"/>
    <mergeCell ref="A4:H4"/>
    <mergeCell ref="A2:H2"/>
    <mergeCell ref="A5:H5"/>
    <mergeCell ref="A10:H10"/>
    <mergeCell ref="A14:H14"/>
    <mergeCell ref="A6:H6"/>
    <mergeCell ref="A7:D7"/>
    <mergeCell ref="A11:H11"/>
    <mergeCell ref="A33:H33"/>
    <mergeCell ref="D30:E30"/>
    <mergeCell ref="A17:H17"/>
    <mergeCell ref="A25:H25"/>
    <mergeCell ref="A29:H29"/>
    <mergeCell ref="A28:H28"/>
    <mergeCell ref="A40:H40"/>
    <mergeCell ref="A41:H41"/>
    <mergeCell ref="A42:H42"/>
    <mergeCell ref="A51:H51"/>
    <mergeCell ref="A52:B52"/>
    <mergeCell ref="A50:H50"/>
  </mergeCells>
  <pageMargins left="0.7" right="0.7" top="0.75" bottom="0.75"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2"/>
  <sheetViews>
    <sheetView topLeftCell="A31" workbookViewId="0">
      <selection activeCell="M40" sqref="M40"/>
    </sheetView>
  </sheetViews>
  <sheetFormatPr baseColWidth="10" defaultRowHeight="15" x14ac:dyDescent="0.2"/>
  <cols>
    <col min="1" max="1" width="11.5703125" style="45" customWidth="1"/>
    <col min="2" max="2" width="13.28515625" style="45" customWidth="1"/>
    <col min="3" max="4" width="11.42578125" style="45"/>
    <col min="5" max="5" width="12.7109375" style="45" bestFit="1" customWidth="1"/>
    <col min="6" max="6" width="11.42578125" style="45"/>
    <col min="7" max="7" width="10.85546875" style="45" customWidth="1"/>
    <col min="8" max="8" width="14.85546875" style="45" customWidth="1"/>
    <col min="9" max="9" width="14" style="45" customWidth="1"/>
    <col min="10" max="10" width="11.42578125" style="45"/>
    <col min="11" max="11" width="12.7109375" style="45" bestFit="1" customWidth="1"/>
    <col min="12" max="12" width="11.42578125" style="45"/>
    <col min="13" max="13" width="12.7109375" style="106" bestFit="1" customWidth="1"/>
    <col min="14" max="16384" width="11.42578125" style="45"/>
  </cols>
  <sheetData>
    <row r="2" spans="1:13" ht="49.5" customHeight="1" x14ac:dyDescent="0.2">
      <c r="A2" s="682" t="s">
        <v>652</v>
      </c>
      <c r="B2" s="682"/>
      <c r="C2" s="682"/>
      <c r="D2" s="682"/>
      <c r="E2" s="682"/>
      <c r="F2" s="682"/>
      <c r="G2" s="682"/>
      <c r="H2" s="682"/>
      <c r="I2" s="682"/>
    </row>
    <row r="4" spans="1:13" ht="128.25" customHeight="1" x14ac:dyDescent="0.2">
      <c r="A4" s="542" t="s">
        <v>1041</v>
      </c>
      <c r="B4" s="542"/>
      <c r="C4" s="542"/>
      <c r="D4" s="542"/>
      <c r="E4" s="542"/>
      <c r="F4" s="542"/>
      <c r="G4" s="542"/>
      <c r="H4" s="542"/>
      <c r="I4" s="542"/>
    </row>
    <row r="5" spans="1:13" ht="15" customHeight="1" x14ac:dyDescent="0.25">
      <c r="A5" s="683" t="s">
        <v>1028</v>
      </c>
      <c r="B5" s="683"/>
      <c r="C5" s="683"/>
      <c r="D5" s="683"/>
      <c r="E5" s="683"/>
      <c r="F5" s="683"/>
      <c r="G5" s="683"/>
      <c r="H5" s="322"/>
    </row>
    <row r="6" spans="1:13" ht="15" customHeight="1" x14ac:dyDescent="0.25">
      <c r="A6" s="491"/>
      <c r="B6" s="471"/>
      <c r="C6" s="471"/>
      <c r="D6" s="471"/>
      <c r="E6" s="471"/>
      <c r="F6" s="471"/>
      <c r="G6" s="471"/>
      <c r="H6" s="471"/>
      <c r="J6" s="106"/>
      <c r="K6" s="106">
        <v>12813000</v>
      </c>
      <c r="L6" s="106"/>
      <c r="M6" s="106">
        <v>20074000</v>
      </c>
    </row>
    <row r="7" spans="1:13" ht="31.5" x14ac:dyDescent="0.25">
      <c r="A7" s="501" t="s">
        <v>1029</v>
      </c>
      <c r="B7" s="502" t="s">
        <v>1030</v>
      </c>
      <c r="C7" s="75"/>
      <c r="D7" s="685"/>
      <c r="E7" s="685"/>
      <c r="F7" s="685"/>
      <c r="J7" s="106"/>
      <c r="K7" s="106">
        <v>1470000</v>
      </c>
      <c r="L7" s="106"/>
      <c r="M7" s="106">
        <v>1470000</v>
      </c>
    </row>
    <row r="8" spans="1:13" ht="15.75" x14ac:dyDescent="0.25">
      <c r="A8" s="492" t="s">
        <v>1031</v>
      </c>
      <c r="B8" s="493">
        <v>44658</v>
      </c>
      <c r="C8" s="75"/>
      <c r="D8" s="494"/>
      <c r="E8" s="495"/>
      <c r="F8" s="496"/>
      <c r="J8" s="106"/>
      <c r="K8" s="106">
        <v>900000</v>
      </c>
      <c r="L8" s="106"/>
      <c r="M8" s="106">
        <v>1800000</v>
      </c>
    </row>
    <row r="9" spans="1:13" ht="15.75" x14ac:dyDescent="0.25">
      <c r="A9" s="492" t="s">
        <v>1032</v>
      </c>
      <c r="B9" s="493">
        <v>44659</v>
      </c>
      <c r="C9" s="75"/>
      <c r="D9" s="494"/>
      <c r="E9" s="495"/>
      <c r="F9" s="496"/>
      <c r="J9" s="106"/>
      <c r="K9" s="106">
        <v>2520000</v>
      </c>
      <c r="L9" s="106"/>
      <c r="M9" s="106">
        <v>2520000</v>
      </c>
    </row>
    <row r="10" spans="1:13" ht="15.75" x14ac:dyDescent="0.25">
      <c r="A10" s="492" t="s">
        <v>1033</v>
      </c>
      <c r="B10" s="493">
        <v>44662</v>
      </c>
      <c r="C10" s="75"/>
      <c r="D10" s="494"/>
      <c r="E10" s="495"/>
      <c r="F10" s="496"/>
      <c r="J10" s="106"/>
      <c r="K10" s="106">
        <v>1300000</v>
      </c>
      <c r="L10" s="106"/>
      <c r="M10" s="106">
        <v>1300000</v>
      </c>
    </row>
    <row r="11" spans="1:13" ht="15.75" x14ac:dyDescent="0.25">
      <c r="A11" s="492" t="s">
        <v>1034</v>
      </c>
      <c r="B11" s="493">
        <v>44663</v>
      </c>
      <c r="C11" s="75"/>
      <c r="D11" s="494"/>
      <c r="E11" s="495"/>
      <c r="F11" s="496"/>
      <c r="J11" s="106"/>
      <c r="K11" s="106">
        <f>SUM(K6:K10)</f>
        <v>19003000</v>
      </c>
      <c r="L11" s="106"/>
      <c r="M11" s="106">
        <f>SUM(M6:M10)</f>
        <v>27164000</v>
      </c>
    </row>
    <row r="12" spans="1:13" ht="15.75" x14ac:dyDescent="0.25">
      <c r="A12" s="492" t="s">
        <v>1035</v>
      </c>
      <c r="B12" s="493">
        <v>44664</v>
      </c>
      <c r="C12" s="75"/>
      <c r="D12" s="494"/>
      <c r="E12" s="495"/>
      <c r="F12" s="496"/>
      <c r="J12" s="106"/>
      <c r="K12" s="106"/>
      <c r="L12" s="106"/>
    </row>
    <row r="13" spans="1:13" ht="15.75" x14ac:dyDescent="0.25">
      <c r="A13" s="492" t="s">
        <v>1036</v>
      </c>
      <c r="B13" s="493">
        <v>44669</v>
      </c>
      <c r="C13" s="75"/>
      <c r="D13" s="494"/>
      <c r="E13" s="495"/>
      <c r="F13" s="496"/>
      <c r="J13" s="106"/>
      <c r="K13" s="106"/>
      <c r="L13" s="106"/>
      <c r="M13" s="106">
        <f>M11*5.9/100</f>
        <v>1602676</v>
      </c>
    </row>
    <row r="14" spans="1:13" ht="15.75" x14ac:dyDescent="0.25">
      <c r="A14" s="492" t="s">
        <v>1037</v>
      </c>
      <c r="B14" s="493">
        <v>44670</v>
      </c>
      <c r="C14" s="75"/>
      <c r="D14" s="494"/>
      <c r="E14" s="495"/>
      <c r="F14" s="496"/>
      <c r="J14" s="106"/>
      <c r="K14" s="106"/>
      <c r="L14" s="106"/>
    </row>
    <row r="15" spans="1:13" ht="15.75" x14ac:dyDescent="0.25">
      <c r="A15" s="492" t="s">
        <v>1038</v>
      </c>
      <c r="B15" s="493">
        <v>44671</v>
      </c>
      <c r="C15" s="75"/>
      <c r="D15" s="494"/>
      <c r="E15" s="495"/>
      <c r="F15" s="496"/>
      <c r="J15" s="106"/>
      <c r="K15" s="106"/>
      <c r="L15" s="106"/>
      <c r="M15" s="106">
        <v>187000</v>
      </c>
    </row>
    <row r="16" spans="1:13" ht="15.75" x14ac:dyDescent="0.25">
      <c r="A16" s="492" t="s">
        <v>1039</v>
      </c>
      <c r="B16" s="493">
        <v>44672</v>
      </c>
      <c r="C16" s="75"/>
      <c r="D16" s="494"/>
      <c r="E16" s="495"/>
      <c r="F16" s="496"/>
      <c r="J16" s="106"/>
      <c r="K16" s="106"/>
      <c r="L16" s="106"/>
      <c r="M16" s="106">
        <v>1416000</v>
      </c>
    </row>
    <row r="17" spans="1:13" ht="15.75" x14ac:dyDescent="0.25">
      <c r="A17" s="492" t="s">
        <v>1040</v>
      </c>
      <c r="B17" s="493">
        <v>44673</v>
      </c>
      <c r="C17" s="75"/>
      <c r="D17" s="494"/>
      <c r="E17" s="495"/>
      <c r="F17" s="496"/>
      <c r="J17" s="106"/>
      <c r="K17" s="106"/>
      <c r="L17" s="106"/>
      <c r="M17" s="106">
        <f>SUM(M15:M16)</f>
        <v>1603000</v>
      </c>
    </row>
    <row r="18" spans="1:13" ht="15.75" x14ac:dyDescent="0.25">
      <c r="A18" s="494"/>
      <c r="B18" s="497"/>
      <c r="C18" s="75"/>
      <c r="D18" s="494"/>
      <c r="E18" s="495"/>
      <c r="F18" s="496"/>
      <c r="J18" s="106"/>
      <c r="K18" s="106"/>
      <c r="L18" s="106"/>
    </row>
    <row r="19" spans="1:13" ht="63" customHeight="1" x14ac:dyDescent="0.2">
      <c r="A19" s="542" t="s">
        <v>1042</v>
      </c>
      <c r="B19" s="542"/>
      <c r="C19" s="542"/>
      <c r="D19" s="542"/>
      <c r="E19" s="542"/>
      <c r="F19" s="542"/>
      <c r="G19" s="542"/>
      <c r="H19" s="542"/>
      <c r="I19" s="542"/>
      <c r="J19" s="106"/>
      <c r="K19" s="106"/>
      <c r="L19" s="106"/>
    </row>
    <row r="20" spans="1:13" ht="65.25" customHeight="1" x14ac:dyDescent="0.2">
      <c r="A20" s="542" t="s">
        <v>1043</v>
      </c>
      <c r="B20" s="542"/>
      <c r="C20" s="542"/>
      <c r="D20" s="542"/>
      <c r="E20" s="542"/>
      <c r="F20" s="542"/>
      <c r="G20" s="542"/>
      <c r="H20" s="542"/>
      <c r="I20" s="542"/>
      <c r="J20" s="106"/>
      <c r="K20" s="106"/>
      <c r="L20" s="106"/>
    </row>
    <row r="22" spans="1:13" ht="108.75" customHeight="1" x14ac:dyDescent="0.2">
      <c r="A22" s="542" t="s">
        <v>1049</v>
      </c>
      <c r="B22" s="542"/>
      <c r="C22" s="542"/>
      <c r="D22" s="542"/>
      <c r="E22" s="542"/>
      <c r="F22" s="542"/>
      <c r="G22" s="542"/>
      <c r="H22" s="542"/>
      <c r="I22" s="542"/>
    </row>
    <row r="23" spans="1:13" ht="15.75" x14ac:dyDescent="0.25">
      <c r="A23" s="492" t="s">
        <v>1029</v>
      </c>
      <c r="B23" s="493" t="s">
        <v>1030</v>
      </c>
    </row>
    <row r="24" spans="1:13" ht="15.75" x14ac:dyDescent="0.25">
      <c r="A24" s="492" t="s">
        <v>1044</v>
      </c>
      <c r="B24" s="493">
        <v>44613</v>
      </c>
    </row>
    <row r="25" spans="1:13" ht="15.75" x14ac:dyDescent="0.25">
      <c r="A25" s="492" t="s">
        <v>1045</v>
      </c>
      <c r="B25" s="493">
        <v>44614</v>
      </c>
    </row>
    <row r="26" spans="1:13" ht="15.75" x14ac:dyDescent="0.25">
      <c r="A26" s="492" t="s">
        <v>1046</v>
      </c>
      <c r="B26" s="493">
        <v>44615</v>
      </c>
    </row>
    <row r="27" spans="1:13" ht="15.75" x14ac:dyDescent="0.25">
      <c r="A27" s="492" t="s">
        <v>1047</v>
      </c>
      <c r="B27" s="493">
        <v>44616</v>
      </c>
    </row>
    <row r="28" spans="1:13" ht="15.75" x14ac:dyDescent="0.25">
      <c r="A28" s="492" t="s">
        <v>1048</v>
      </c>
      <c r="B28" s="493">
        <v>44617</v>
      </c>
    </row>
    <row r="30" spans="1:13" ht="93.75" customHeight="1" x14ac:dyDescent="0.2">
      <c r="A30" s="542" t="s">
        <v>1050</v>
      </c>
      <c r="B30" s="542"/>
      <c r="C30" s="542"/>
      <c r="D30" s="542"/>
      <c r="E30" s="542"/>
      <c r="F30" s="542"/>
      <c r="G30" s="542"/>
      <c r="H30" s="542"/>
      <c r="I30" s="542"/>
    </row>
    <row r="31" spans="1:13" ht="30" customHeight="1" x14ac:dyDescent="0.2">
      <c r="A31" s="605" t="s">
        <v>1051</v>
      </c>
      <c r="B31" s="605"/>
      <c r="C31" s="605"/>
      <c r="D31" s="605"/>
      <c r="E31" s="605"/>
      <c r="F31" s="605"/>
      <c r="G31" s="605"/>
      <c r="H31" s="605"/>
      <c r="I31" s="605"/>
    </row>
    <row r="32" spans="1:13" ht="16.5" customHeight="1" x14ac:dyDescent="0.2">
      <c r="A32" s="684" t="s">
        <v>1052</v>
      </c>
      <c r="B32" s="684"/>
      <c r="C32" s="684"/>
      <c r="D32" s="684"/>
      <c r="E32" s="684"/>
      <c r="F32" s="684"/>
      <c r="G32" s="684"/>
      <c r="H32" s="684"/>
      <c r="I32" s="684"/>
    </row>
    <row r="34" spans="1:9" ht="30" customHeight="1" x14ac:dyDescent="0.2">
      <c r="A34" s="500" t="s">
        <v>1029</v>
      </c>
      <c r="B34" s="681" t="s">
        <v>1053</v>
      </c>
      <c r="C34" s="681"/>
      <c r="D34" s="500" t="s">
        <v>1029</v>
      </c>
      <c r="E34" s="681" t="s">
        <v>1054</v>
      </c>
      <c r="F34" s="681"/>
      <c r="G34" s="500" t="s">
        <v>1029</v>
      </c>
      <c r="H34" s="681" t="s">
        <v>1055</v>
      </c>
      <c r="I34" s="681"/>
    </row>
    <row r="35" spans="1:9" ht="15.75" x14ac:dyDescent="0.25">
      <c r="A35" s="492" t="s">
        <v>1031</v>
      </c>
      <c r="B35" s="699">
        <v>44691</v>
      </c>
      <c r="C35" s="699"/>
      <c r="D35" s="492" t="s">
        <v>1031</v>
      </c>
      <c r="E35" s="680">
        <v>44718</v>
      </c>
      <c r="F35" s="680"/>
      <c r="G35" s="492" t="s">
        <v>1031</v>
      </c>
      <c r="H35" s="680">
        <v>44750</v>
      </c>
      <c r="I35" s="680"/>
    </row>
    <row r="36" spans="1:9" ht="15.75" x14ac:dyDescent="0.25">
      <c r="A36" s="492" t="s">
        <v>1032</v>
      </c>
      <c r="B36" s="699">
        <v>44692</v>
      </c>
      <c r="C36" s="699"/>
      <c r="D36" s="492" t="s">
        <v>1032</v>
      </c>
      <c r="E36" s="680">
        <v>44719</v>
      </c>
      <c r="F36" s="680"/>
      <c r="G36" s="492" t="s">
        <v>1032</v>
      </c>
      <c r="H36" s="680">
        <v>44753</v>
      </c>
      <c r="I36" s="680"/>
    </row>
    <row r="37" spans="1:9" ht="15.75" x14ac:dyDescent="0.25">
      <c r="A37" s="492" t="s">
        <v>1033</v>
      </c>
      <c r="B37" s="699">
        <v>44693</v>
      </c>
      <c r="C37" s="699"/>
      <c r="D37" s="492" t="s">
        <v>1033</v>
      </c>
      <c r="E37" s="680">
        <v>44720</v>
      </c>
      <c r="F37" s="680"/>
      <c r="G37" s="492" t="s">
        <v>1033</v>
      </c>
      <c r="H37" s="680">
        <v>44754</v>
      </c>
      <c r="I37" s="680"/>
    </row>
    <row r="38" spans="1:9" ht="15.75" x14ac:dyDescent="0.25">
      <c r="A38" s="492" t="s">
        <v>1034</v>
      </c>
      <c r="B38" s="699">
        <v>44694</v>
      </c>
      <c r="C38" s="699"/>
      <c r="D38" s="492" t="s">
        <v>1034</v>
      </c>
      <c r="E38" s="680">
        <v>44721</v>
      </c>
      <c r="F38" s="680"/>
      <c r="G38" s="492" t="s">
        <v>1034</v>
      </c>
      <c r="H38" s="680">
        <v>44755</v>
      </c>
      <c r="I38" s="680"/>
    </row>
    <row r="39" spans="1:9" ht="15.75" x14ac:dyDescent="0.25">
      <c r="A39" s="492" t="s">
        <v>1035</v>
      </c>
      <c r="B39" s="699">
        <v>44697</v>
      </c>
      <c r="C39" s="699"/>
      <c r="D39" s="492" t="s">
        <v>1035</v>
      </c>
      <c r="E39" s="680">
        <v>44722</v>
      </c>
      <c r="F39" s="680"/>
      <c r="G39" s="492" t="s">
        <v>1035</v>
      </c>
      <c r="H39" s="680">
        <v>44756</v>
      </c>
      <c r="I39" s="680"/>
    </row>
    <row r="40" spans="1:9" ht="15.75" x14ac:dyDescent="0.25">
      <c r="A40" s="492" t="s">
        <v>1036</v>
      </c>
      <c r="B40" s="699">
        <v>44698</v>
      </c>
      <c r="C40" s="699"/>
      <c r="D40" s="492" t="s">
        <v>1036</v>
      </c>
      <c r="E40" s="680">
        <v>44725</v>
      </c>
      <c r="F40" s="680"/>
      <c r="G40" s="492" t="s">
        <v>1036</v>
      </c>
      <c r="H40" s="680">
        <v>44757</v>
      </c>
      <c r="I40" s="680"/>
    </row>
    <row r="41" spans="1:9" ht="15.75" x14ac:dyDescent="0.25">
      <c r="A41" s="492" t="s">
        <v>1037</v>
      </c>
      <c r="B41" s="699">
        <v>44699</v>
      </c>
      <c r="C41" s="699"/>
      <c r="D41" s="492" t="s">
        <v>1037</v>
      </c>
      <c r="E41" s="680">
        <v>44726</v>
      </c>
      <c r="F41" s="680"/>
      <c r="G41" s="492" t="s">
        <v>1037</v>
      </c>
      <c r="H41" s="680">
        <v>44760</v>
      </c>
      <c r="I41" s="680"/>
    </row>
    <row r="42" spans="1:9" ht="15.75" x14ac:dyDescent="0.25">
      <c r="A42" s="492" t="s">
        <v>1038</v>
      </c>
      <c r="B42" s="699">
        <v>44700</v>
      </c>
      <c r="C42" s="699"/>
      <c r="D42" s="492" t="s">
        <v>1038</v>
      </c>
      <c r="E42" s="680">
        <v>44727</v>
      </c>
      <c r="F42" s="680"/>
      <c r="G42" s="492" t="s">
        <v>1038</v>
      </c>
      <c r="H42" s="680">
        <v>44761</v>
      </c>
      <c r="I42" s="680"/>
    </row>
    <row r="43" spans="1:9" ht="15.75" x14ac:dyDescent="0.25">
      <c r="A43" s="492" t="s">
        <v>1039</v>
      </c>
      <c r="B43" s="699">
        <v>44701</v>
      </c>
      <c r="C43" s="699"/>
      <c r="D43" s="492" t="s">
        <v>1039</v>
      </c>
      <c r="E43" s="680">
        <v>44728</v>
      </c>
      <c r="F43" s="680"/>
      <c r="G43" s="492" t="s">
        <v>1039</v>
      </c>
      <c r="H43" s="680">
        <v>44763</v>
      </c>
      <c r="I43" s="680"/>
    </row>
    <row r="44" spans="1:9" ht="15.75" x14ac:dyDescent="0.25">
      <c r="A44" s="492" t="s">
        <v>1040</v>
      </c>
      <c r="B44" s="699">
        <v>44704</v>
      </c>
      <c r="C44" s="699"/>
      <c r="D44" s="492" t="s">
        <v>1040</v>
      </c>
      <c r="E44" s="680">
        <v>44729</v>
      </c>
      <c r="F44" s="680"/>
      <c r="G44" s="492" t="s">
        <v>1040</v>
      </c>
      <c r="H44" s="680">
        <v>44764</v>
      </c>
      <c r="I44" s="680"/>
    </row>
    <row r="45" spans="1:9" ht="15.75" x14ac:dyDescent="0.25">
      <c r="A45"/>
    </row>
    <row r="46" spans="1:9" ht="31.5" x14ac:dyDescent="0.2">
      <c r="A46" s="500" t="s">
        <v>1029</v>
      </c>
      <c r="B46" s="681" t="s">
        <v>1056</v>
      </c>
      <c r="C46" s="681"/>
      <c r="D46" s="500" t="s">
        <v>1029</v>
      </c>
      <c r="E46" s="681" t="s">
        <v>1057</v>
      </c>
      <c r="F46" s="681"/>
      <c r="G46" s="500" t="s">
        <v>1029</v>
      </c>
      <c r="H46" s="681" t="s">
        <v>1058</v>
      </c>
      <c r="I46" s="681"/>
    </row>
    <row r="47" spans="1:9" ht="15.75" x14ac:dyDescent="0.25">
      <c r="A47" s="492" t="s">
        <v>1031</v>
      </c>
      <c r="B47" s="680">
        <v>44811</v>
      </c>
      <c r="C47" s="680"/>
      <c r="D47" s="492" t="s">
        <v>1031</v>
      </c>
      <c r="E47" s="680">
        <v>44874</v>
      </c>
      <c r="F47" s="680"/>
      <c r="G47" s="492" t="s">
        <v>1031</v>
      </c>
      <c r="H47" s="680">
        <v>44937</v>
      </c>
      <c r="I47" s="680"/>
    </row>
    <row r="48" spans="1:9" ht="15.75" x14ac:dyDescent="0.25">
      <c r="A48" s="492" t="s">
        <v>1032</v>
      </c>
      <c r="B48" s="680">
        <v>44812</v>
      </c>
      <c r="C48" s="680"/>
      <c r="D48" s="492" t="s">
        <v>1032</v>
      </c>
      <c r="E48" s="680">
        <v>44875</v>
      </c>
      <c r="F48" s="680"/>
      <c r="G48" s="492" t="s">
        <v>1032</v>
      </c>
      <c r="H48" s="680">
        <v>44938</v>
      </c>
      <c r="I48" s="680"/>
    </row>
    <row r="49" spans="1:9" ht="15.75" x14ac:dyDescent="0.25">
      <c r="A49" s="492" t="s">
        <v>1033</v>
      </c>
      <c r="B49" s="680">
        <v>44813</v>
      </c>
      <c r="C49" s="680"/>
      <c r="D49" s="492" t="s">
        <v>1033</v>
      </c>
      <c r="E49" s="680">
        <v>44876</v>
      </c>
      <c r="F49" s="680"/>
      <c r="G49" s="492" t="s">
        <v>1033</v>
      </c>
      <c r="H49" s="680">
        <v>44939</v>
      </c>
      <c r="I49" s="680"/>
    </row>
    <row r="50" spans="1:9" ht="15.75" x14ac:dyDescent="0.25">
      <c r="A50" s="492" t="s">
        <v>1034</v>
      </c>
      <c r="B50" s="680">
        <v>44816</v>
      </c>
      <c r="C50" s="680"/>
      <c r="D50" s="492" t="s">
        <v>1034</v>
      </c>
      <c r="E50" s="680">
        <v>44880</v>
      </c>
      <c r="F50" s="680"/>
      <c r="G50" s="492" t="s">
        <v>1034</v>
      </c>
      <c r="H50" s="680">
        <v>44942</v>
      </c>
      <c r="I50" s="680"/>
    </row>
    <row r="51" spans="1:9" ht="15.75" x14ac:dyDescent="0.25">
      <c r="A51" s="492" t="s">
        <v>1035</v>
      </c>
      <c r="B51" s="680">
        <v>44817</v>
      </c>
      <c r="C51" s="680"/>
      <c r="D51" s="492" t="s">
        <v>1035</v>
      </c>
      <c r="E51" s="680">
        <v>44881</v>
      </c>
      <c r="F51" s="680"/>
      <c r="G51" s="492" t="s">
        <v>1035</v>
      </c>
      <c r="H51" s="680">
        <v>44943</v>
      </c>
      <c r="I51" s="680"/>
    </row>
    <row r="52" spans="1:9" ht="15.75" x14ac:dyDescent="0.25">
      <c r="A52" s="492" t="s">
        <v>1036</v>
      </c>
      <c r="B52" s="680">
        <v>44818</v>
      </c>
      <c r="C52" s="680"/>
      <c r="D52" s="492" t="s">
        <v>1036</v>
      </c>
      <c r="E52" s="680">
        <v>44882</v>
      </c>
      <c r="F52" s="680"/>
      <c r="G52" s="492" t="s">
        <v>1036</v>
      </c>
      <c r="H52" s="680">
        <v>44944</v>
      </c>
      <c r="I52" s="680"/>
    </row>
    <row r="53" spans="1:9" ht="15.75" x14ac:dyDescent="0.25">
      <c r="A53" s="492" t="s">
        <v>1037</v>
      </c>
      <c r="B53" s="680">
        <v>44819</v>
      </c>
      <c r="C53" s="680"/>
      <c r="D53" s="492" t="s">
        <v>1037</v>
      </c>
      <c r="E53" s="680">
        <v>44883</v>
      </c>
      <c r="F53" s="680"/>
      <c r="G53" s="492" t="s">
        <v>1037</v>
      </c>
      <c r="H53" s="680">
        <v>44945</v>
      </c>
      <c r="I53" s="680"/>
    </row>
    <row r="54" spans="1:9" ht="15.75" x14ac:dyDescent="0.25">
      <c r="A54" s="492" t="s">
        <v>1038</v>
      </c>
      <c r="B54" s="680">
        <v>44820</v>
      </c>
      <c r="C54" s="680"/>
      <c r="D54" s="492" t="s">
        <v>1038</v>
      </c>
      <c r="E54" s="680">
        <v>44886</v>
      </c>
      <c r="F54" s="680"/>
      <c r="G54" s="492" t="s">
        <v>1038</v>
      </c>
      <c r="H54" s="680">
        <v>44946</v>
      </c>
      <c r="I54" s="680"/>
    </row>
    <row r="55" spans="1:9" ht="15.75" x14ac:dyDescent="0.25">
      <c r="A55" s="492" t="s">
        <v>1039</v>
      </c>
      <c r="B55" s="680">
        <v>44823</v>
      </c>
      <c r="C55" s="680"/>
      <c r="D55" s="492" t="s">
        <v>1039</v>
      </c>
      <c r="E55" s="680">
        <v>44887</v>
      </c>
      <c r="F55" s="680"/>
      <c r="G55" s="492" t="s">
        <v>1039</v>
      </c>
      <c r="H55" s="680">
        <v>44949</v>
      </c>
      <c r="I55" s="680"/>
    </row>
    <row r="56" spans="1:9" ht="15.75" x14ac:dyDescent="0.25">
      <c r="A56" s="492" t="s">
        <v>1040</v>
      </c>
      <c r="B56" s="680">
        <v>44824</v>
      </c>
      <c r="C56" s="680"/>
      <c r="D56" s="492" t="s">
        <v>1040</v>
      </c>
      <c r="E56" s="680">
        <v>44888</v>
      </c>
      <c r="F56" s="680"/>
      <c r="G56" s="492" t="s">
        <v>1040</v>
      </c>
      <c r="H56" s="680">
        <v>44950</v>
      </c>
      <c r="I56" s="680"/>
    </row>
    <row r="57" spans="1:9" ht="15.75" x14ac:dyDescent="0.25">
      <c r="A57"/>
    </row>
    <row r="58" spans="1:9" x14ac:dyDescent="0.2">
      <c r="A58" s="498"/>
    </row>
    <row r="59" spans="1:9" ht="15.75" x14ac:dyDescent="0.25">
      <c r="A59"/>
    </row>
    <row r="60" spans="1:9" x14ac:dyDescent="0.2">
      <c r="A60" s="498"/>
    </row>
    <row r="61" spans="1:9" ht="15.75" x14ac:dyDescent="0.25">
      <c r="A61"/>
    </row>
    <row r="62" spans="1:9" x14ac:dyDescent="0.2">
      <c r="A62" s="498"/>
    </row>
    <row r="63" spans="1:9" ht="15.75" x14ac:dyDescent="0.25">
      <c r="A63"/>
    </row>
    <row r="64" spans="1:9" x14ac:dyDescent="0.2">
      <c r="A64" s="498"/>
    </row>
    <row r="65" spans="1:1" ht="15.75" x14ac:dyDescent="0.25">
      <c r="A65"/>
    </row>
    <row r="66" spans="1:1" x14ac:dyDescent="0.2">
      <c r="A66" s="498"/>
    </row>
    <row r="67" spans="1:1" ht="15.75" x14ac:dyDescent="0.25">
      <c r="A67"/>
    </row>
    <row r="68" spans="1:1" x14ac:dyDescent="0.2">
      <c r="A68" s="498"/>
    </row>
    <row r="69" spans="1:1" ht="15.75" x14ac:dyDescent="0.25">
      <c r="A69"/>
    </row>
    <row r="70" spans="1:1" x14ac:dyDescent="0.2">
      <c r="A70" s="498"/>
    </row>
    <row r="71" spans="1:1" ht="15.75" x14ac:dyDescent="0.25">
      <c r="A71"/>
    </row>
    <row r="72" spans="1:1" x14ac:dyDescent="0.2">
      <c r="A72" s="498"/>
    </row>
    <row r="73" spans="1:1" ht="15.75" x14ac:dyDescent="0.25">
      <c r="A73"/>
    </row>
    <row r="74" spans="1:1" ht="15.75" x14ac:dyDescent="0.2">
      <c r="A74" s="499"/>
    </row>
    <row r="75" spans="1:1" ht="15.75" x14ac:dyDescent="0.25">
      <c r="A75"/>
    </row>
    <row r="76" spans="1:1" ht="15.75" x14ac:dyDescent="0.2">
      <c r="A76" s="499"/>
    </row>
    <row r="77" spans="1:1" ht="15.75" x14ac:dyDescent="0.25">
      <c r="A77"/>
    </row>
    <row r="78" spans="1:1" ht="15.75" x14ac:dyDescent="0.2">
      <c r="A78" s="499"/>
    </row>
    <row r="79" spans="1:1" ht="15.75" x14ac:dyDescent="0.25">
      <c r="A79"/>
    </row>
    <row r="80" spans="1:1" ht="15.75" x14ac:dyDescent="0.2">
      <c r="A80" s="499"/>
    </row>
    <row r="81" spans="1:1" ht="15.75" x14ac:dyDescent="0.25">
      <c r="A81"/>
    </row>
    <row r="82" spans="1:1" ht="15.75" x14ac:dyDescent="0.2">
      <c r="A82" s="499"/>
    </row>
    <row r="83" spans="1:1" ht="15.75" x14ac:dyDescent="0.25">
      <c r="A83"/>
    </row>
    <row r="84" spans="1:1" ht="15.75" x14ac:dyDescent="0.2">
      <c r="A84" s="499"/>
    </row>
    <row r="85" spans="1:1" ht="15.75" x14ac:dyDescent="0.25">
      <c r="A85"/>
    </row>
    <row r="86" spans="1:1" ht="15.75" x14ac:dyDescent="0.2">
      <c r="A86" s="499"/>
    </row>
    <row r="87" spans="1:1" ht="15.75" x14ac:dyDescent="0.25">
      <c r="A87"/>
    </row>
    <row r="88" spans="1:1" ht="15.75" x14ac:dyDescent="0.2">
      <c r="A88" s="499"/>
    </row>
    <row r="89" spans="1:1" ht="15.75" x14ac:dyDescent="0.25">
      <c r="A89"/>
    </row>
    <row r="90" spans="1:1" ht="15.75" x14ac:dyDescent="0.2">
      <c r="A90" s="499"/>
    </row>
    <row r="91" spans="1:1" ht="15.75" x14ac:dyDescent="0.25">
      <c r="A91"/>
    </row>
    <row r="92" spans="1:1" ht="15.75" x14ac:dyDescent="0.2">
      <c r="A92" s="499"/>
    </row>
    <row r="93" spans="1:1" ht="15.75" x14ac:dyDescent="0.25">
      <c r="A93"/>
    </row>
    <row r="94" spans="1:1" ht="15.75" x14ac:dyDescent="0.2">
      <c r="A94" s="499"/>
    </row>
    <row r="95" spans="1:1" ht="15.75" x14ac:dyDescent="0.25">
      <c r="A95"/>
    </row>
    <row r="96" spans="1:1" ht="15.75" x14ac:dyDescent="0.2">
      <c r="A96" s="499"/>
    </row>
    <row r="97" spans="1:1" ht="15.75" x14ac:dyDescent="0.25">
      <c r="A97"/>
    </row>
    <row r="98" spans="1:1" ht="15.75" x14ac:dyDescent="0.2">
      <c r="A98" s="499"/>
    </row>
    <row r="99" spans="1:1" ht="15.75" x14ac:dyDescent="0.25">
      <c r="A99"/>
    </row>
    <row r="100" spans="1:1" ht="15.75" x14ac:dyDescent="0.2">
      <c r="A100" s="499"/>
    </row>
    <row r="101" spans="1:1" ht="15.75" x14ac:dyDescent="0.25">
      <c r="A101"/>
    </row>
    <row r="102" spans="1:1" ht="15.75" x14ac:dyDescent="0.2">
      <c r="A102" s="499"/>
    </row>
    <row r="103" spans="1:1" ht="15.75" x14ac:dyDescent="0.25">
      <c r="A103"/>
    </row>
    <row r="104" spans="1:1" ht="15.75" x14ac:dyDescent="0.2">
      <c r="A104" s="499"/>
    </row>
    <row r="105" spans="1:1" ht="15.75" x14ac:dyDescent="0.25">
      <c r="A105"/>
    </row>
    <row r="106" spans="1:1" ht="15.75" x14ac:dyDescent="0.2">
      <c r="A106" s="499"/>
    </row>
    <row r="107" spans="1:1" ht="15.75" x14ac:dyDescent="0.25">
      <c r="A107"/>
    </row>
    <row r="108" spans="1:1" ht="15.75" x14ac:dyDescent="0.2">
      <c r="A108" s="499"/>
    </row>
    <row r="109" spans="1:1" ht="15.75" x14ac:dyDescent="0.25">
      <c r="A109"/>
    </row>
    <row r="110" spans="1:1" ht="15.75" x14ac:dyDescent="0.2">
      <c r="A110" s="499"/>
    </row>
    <row r="111" spans="1:1" ht="15.75" x14ac:dyDescent="0.25">
      <c r="A111"/>
    </row>
    <row r="112" spans="1:1" ht="15.75" x14ac:dyDescent="0.2">
      <c r="A112" s="499"/>
    </row>
    <row r="113" spans="1:1" ht="15.75" x14ac:dyDescent="0.25">
      <c r="A113"/>
    </row>
    <row r="114" spans="1:1" ht="15.75" x14ac:dyDescent="0.2">
      <c r="A114" s="499"/>
    </row>
    <row r="115" spans="1:1" ht="15.75" x14ac:dyDescent="0.25">
      <c r="A115"/>
    </row>
    <row r="116" spans="1:1" ht="15.75" x14ac:dyDescent="0.2">
      <c r="A116" s="499"/>
    </row>
    <row r="117" spans="1:1" ht="15.75" x14ac:dyDescent="0.25">
      <c r="A117"/>
    </row>
    <row r="118" spans="1:1" ht="15.75" x14ac:dyDescent="0.2">
      <c r="A118" s="499"/>
    </row>
    <row r="119" spans="1:1" ht="15.75" x14ac:dyDescent="0.25">
      <c r="A119"/>
    </row>
    <row r="120" spans="1:1" ht="15.75" x14ac:dyDescent="0.2">
      <c r="A120" s="499"/>
    </row>
    <row r="121" spans="1:1" ht="15.75" x14ac:dyDescent="0.25">
      <c r="A121"/>
    </row>
    <row r="122" spans="1:1" ht="15.75" x14ac:dyDescent="0.2">
      <c r="A122" s="499"/>
    </row>
    <row r="123" spans="1:1" ht="15.75" x14ac:dyDescent="0.25">
      <c r="A123"/>
    </row>
    <row r="124" spans="1:1" ht="15.75" x14ac:dyDescent="0.2">
      <c r="A124" s="499"/>
    </row>
    <row r="125" spans="1:1" ht="15.75" x14ac:dyDescent="0.25">
      <c r="A125"/>
    </row>
    <row r="126" spans="1:1" ht="15.75" x14ac:dyDescent="0.2">
      <c r="A126" s="499"/>
    </row>
    <row r="127" spans="1:1" ht="15.75" x14ac:dyDescent="0.25">
      <c r="A127"/>
    </row>
    <row r="128" spans="1:1" ht="15.75" x14ac:dyDescent="0.2">
      <c r="A128" s="499"/>
    </row>
    <row r="129" spans="1:1" ht="15.75" x14ac:dyDescent="0.25">
      <c r="A129"/>
    </row>
    <row r="130" spans="1:1" ht="15.75" x14ac:dyDescent="0.2">
      <c r="A130" s="499"/>
    </row>
    <row r="131" spans="1:1" ht="15.75" x14ac:dyDescent="0.25">
      <c r="A131"/>
    </row>
    <row r="132" spans="1:1" ht="15.75" x14ac:dyDescent="0.2">
      <c r="A132" s="499"/>
    </row>
    <row r="133" spans="1:1" ht="15.75" x14ac:dyDescent="0.25">
      <c r="A133"/>
    </row>
    <row r="134" spans="1:1" ht="15.75" x14ac:dyDescent="0.2">
      <c r="A134" s="499"/>
    </row>
    <row r="135" spans="1:1" ht="15.75" x14ac:dyDescent="0.25">
      <c r="A135"/>
    </row>
    <row r="136" spans="1:1" ht="15.75" x14ac:dyDescent="0.2">
      <c r="A136" s="499"/>
    </row>
    <row r="137" spans="1:1" ht="15.75" x14ac:dyDescent="0.25">
      <c r="A137"/>
    </row>
    <row r="138" spans="1:1" ht="15.75" x14ac:dyDescent="0.2">
      <c r="A138" s="499"/>
    </row>
    <row r="139" spans="1:1" ht="15.75" x14ac:dyDescent="0.25">
      <c r="A139"/>
    </row>
    <row r="140" spans="1:1" ht="15.75" x14ac:dyDescent="0.2">
      <c r="A140" s="499"/>
    </row>
    <row r="141" spans="1:1" ht="15.75" x14ac:dyDescent="0.25">
      <c r="A141"/>
    </row>
    <row r="142" spans="1:1" ht="15.75" x14ac:dyDescent="0.2">
      <c r="A142" s="499"/>
    </row>
    <row r="143" spans="1:1" ht="15.75" x14ac:dyDescent="0.25">
      <c r="A143"/>
    </row>
    <row r="144" spans="1:1" ht="15.75" x14ac:dyDescent="0.2">
      <c r="A144" s="499"/>
    </row>
    <row r="145" spans="1:1" ht="15.75" x14ac:dyDescent="0.25">
      <c r="A145"/>
    </row>
    <row r="146" spans="1:1" ht="15.75" x14ac:dyDescent="0.2">
      <c r="A146" s="499"/>
    </row>
    <row r="147" spans="1:1" ht="15.75" x14ac:dyDescent="0.25">
      <c r="A147"/>
    </row>
    <row r="148" spans="1:1" ht="15.75" x14ac:dyDescent="0.2">
      <c r="A148" s="499"/>
    </row>
    <row r="149" spans="1:1" ht="15.75" x14ac:dyDescent="0.25">
      <c r="A149"/>
    </row>
    <row r="150" spans="1:1" ht="15.75" x14ac:dyDescent="0.2">
      <c r="A150" s="499"/>
    </row>
    <row r="151" spans="1:1" ht="15.75" x14ac:dyDescent="0.25">
      <c r="A151"/>
    </row>
    <row r="152" spans="1:1" ht="15.75" x14ac:dyDescent="0.2">
      <c r="A152" s="499"/>
    </row>
    <row r="153" spans="1:1" ht="15.75" x14ac:dyDescent="0.25">
      <c r="A153"/>
    </row>
    <row r="154" spans="1:1" ht="15.75" x14ac:dyDescent="0.2">
      <c r="A154" s="499"/>
    </row>
    <row r="155" spans="1:1" ht="15.75" x14ac:dyDescent="0.25">
      <c r="A155"/>
    </row>
    <row r="156" spans="1:1" ht="15.75" x14ac:dyDescent="0.2">
      <c r="A156" s="499"/>
    </row>
    <row r="157" spans="1:1" ht="15.75" x14ac:dyDescent="0.25">
      <c r="A157"/>
    </row>
    <row r="158" spans="1:1" ht="15.75" x14ac:dyDescent="0.2">
      <c r="A158" s="499"/>
    </row>
    <row r="159" spans="1:1" ht="15.75" x14ac:dyDescent="0.25">
      <c r="A159"/>
    </row>
    <row r="160" spans="1:1" ht="15.75" x14ac:dyDescent="0.2">
      <c r="A160" s="499"/>
    </row>
    <row r="161" spans="1:1" ht="15.75" x14ac:dyDescent="0.25">
      <c r="A161"/>
    </row>
    <row r="162" spans="1:1" ht="15.75" x14ac:dyDescent="0.2">
      <c r="A162" s="499"/>
    </row>
    <row r="163" spans="1:1" ht="15.75" x14ac:dyDescent="0.25">
      <c r="A163"/>
    </row>
    <row r="164" spans="1:1" ht="15.75" x14ac:dyDescent="0.2">
      <c r="A164" s="499"/>
    </row>
    <row r="165" spans="1:1" ht="15.75" x14ac:dyDescent="0.25">
      <c r="A165"/>
    </row>
    <row r="166" spans="1:1" ht="15.75" x14ac:dyDescent="0.2">
      <c r="A166" s="499"/>
    </row>
    <row r="167" spans="1:1" ht="15.75" x14ac:dyDescent="0.25">
      <c r="A167"/>
    </row>
    <row r="168" spans="1:1" ht="15.75" x14ac:dyDescent="0.2">
      <c r="A168" s="499"/>
    </row>
    <row r="169" spans="1:1" ht="15.75" x14ac:dyDescent="0.25">
      <c r="A169"/>
    </row>
    <row r="170" spans="1:1" ht="15.75" x14ac:dyDescent="0.2">
      <c r="A170" s="499"/>
    </row>
    <row r="171" spans="1:1" ht="15.75" x14ac:dyDescent="0.25">
      <c r="A171"/>
    </row>
    <row r="172" spans="1:1" ht="15.75" x14ac:dyDescent="0.2">
      <c r="A172" s="499"/>
    </row>
    <row r="173" spans="1:1" ht="15.75" x14ac:dyDescent="0.25">
      <c r="A173"/>
    </row>
    <row r="174" spans="1:1" ht="15.75" x14ac:dyDescent="0.2">
      <c r="A174" s="499"/>
    </row>
    <row r="175" spans="1:1" ht="15.75" x14ac:dyDescent="0.25">
      <c r="A175"/>
    </row>
    <row r="176" spans="1:1" ht="15.75" x14ac:dyDescent="0.2">
      <c r="A176" s="499"/>
    </row>
    <row r="177" spans="1:1" ht="15.75" x14ac:dyDescent="0.25">
      <c r="A177"/>
    </row>
    <row r="178" spans="1:1" ht="15.75" x14ac:dyDescent="0.2">
      <c r="A178" s="499"/>
    </row>
    <row r="179" spans="1:1" ht="15.75" x14ac:dyDescent="0.25">
      <c r="A179"/>
    </row>
    <row r="180" spans="1:1" ht="15.75" x14ac:dyDescent="0.2">
      <c r="A180" s="499"/>
    </row>
    <row r="181" spans="1:1" ht="15.75" x14ac:dyDescent="0.25">
      <c r="A181"/>
    </row>
    <row r="182" spans="1:1" ht="15.75" x14ac:dyDescent="0.2">
      <c r="A182" s="499"/>
    </row>
    <row r="183" spans="1:1" ht="15.75" x14ac:dyDescent="0.25">
      <c r="A183"/>
    </row>
    <row r="184" spans="1:1" ht="15.75" x14ac:dyDescent="0.2">
      <c r="A184" s="499"/>
    </row>
    <row r="185" spans="1:1" ht="15.75" x14ac:dyDescent="0.25">
      <c r="A185"/>
    </row>
    <row r="186" spans="1:1" ht="15.75" x14ac:dyDescent="0.2">
      <c r="A186" s="499"/>
    </row>
    <row r="187" spans="1:1" ht="15.75" x14ac:dyDescent="0.25">
      <c r="A187"/>
    </row>
    <row r="188" spans="1:1" ht="15.75" x14ac:dyDescent="0.2">
      <c r="A188" s="499"/>
    </row>
    <row r="189" spans="1:1" ht="15.75" x14ac:dyDescent="0.25">
      <c r="A189"/>
    </row>
    <row r="190" spans="1:1" ht="15.75" x14ac:dyDescent="0.2">
      <c r="A190" s="499"/>
    </row>
    <row r="191" spans="1:1" ht="15.75" x14ac:dyDescent="0.25">
      <c r="A191"/>
    </row>
    <row r="192" spans="1:1" ht="15.75" x14ac:dyDescent="0.2">
      <c r="A192" s="499"/>
    </row>
    <row r="193" spans="1:1" ht="15.75" x14ac:dyDescent="0.25">
      <c r="A193"/>
    </row>
    <row r="194" spans="1:1" ht="15.75" x14ac:dyDescent="0.2">
      <c r="A194" s="499"/>
    </row>
    <row r="195" spans="1:1" ht="15.75" x14ac:dyDescent="0.25">
      <c r="A195"/>
    </row>
    <row r="196" spans="1:1" ht="15.75" x14ac:dyDescent="0.2">
      <c r="A196" s="499"/>
    </row>
    <row r="197" spans="1:1" ht="15.75" x14ac:dyDescent="0.25">
      <c r="A197"/>
    </row>
    <row r="198" spans="1:1" ht="15.75" x14ac:dyDescent="0.2">
      <c r="A198" s="499"/>
    </row>
    <row r="199" spans="1:1" ht="15.75" x14ac:dyDescent="0.25">
      <c r="A199"/>
    </row>
    <row r="200" spans="1:1" ht="15.75" x14ac:dyDescent="0.2">
      <c r="A200" s="499"/>
    </row>
    <row r="201" spans="1:1" ht="15.75" x14ac:dyDescent="0.25">
      <c r="A201"/>
    </row>
    <row r="202" spans="1:1" ht="15.75" x14ac:dyDescent="0.2">
      <c r="A202" s="499"/>
    </row>
    <row r="203" spans="1:1" ht="15.75" x14ac:dyDescent="0.25">
      <c r="A203"/>
    </row>
    <row r="204" spans="1:1" ht="15.75" x14ac:dyDescent="0.2">
      <c r="A204" s="499"/>
    </row>
    <row r="205" spans="1:1" ht="15.75" x14ac:dyDescent="0.25">
      <c r="A205"/>
    </row>
    <row r="206" spans="1:1" ht="15.75" x14ac:dyDescent="0.2">
      <c r="A206" s="499"/>
    </row>
    <row r="207" spans="1:1" ht="15.75" x14ac:dyDescent="0.25">
      <c r="A207"/>
    </row>
    <row r="208" spans="1:1" ht="15.75" x14ac:dyDescent="0.2">
      <c r="A208" s="499"/>
    </row>
    <row r="209" spans="1:1" ht="15.75" x14ac:dyDescent="0.25">
      <c r="A209"/>
    </row>
    <row r="210" spans="1:1" ht="15.75" x14ac:dyDescent="0.2">
      <c r="A210" s="499"/>
    </row>
    <row r="211" spans="1:1" ht="15.75" x14ac:dyDescent="0.25">
      <c r="A211"/>
    </row>
    <row r="212" spans="1:1" ht="15.75" x14ac:dyDescent="0.2">
      <c r="A212" s="499"/>
    </row>
  </sheetData>
  <mergeCells count="76">
    <mergeCell ref="A2:I2"/>
    <mergeCell ref="A5:G5"/>
    <mergeCell ref="A19:I19"/>
    <mergeCell ref="A31:I31"/>
    <mergeCell ref="A32:I32"/>
    <mergeCell ref="A20:I20"/>
    <mergeCell ref="A22:I22"/>
    <mergeCell ref="A30:I30"/>
    <mergeCell ref="D7:F7"/>
    <mergeCell ref="A4:I4"/>
    <mergeCell ref="B34:C34"/>
    <mergeCell ref="E34:F34"/>
    <mergeCell ref="H34:I34"/>
    <mergeCell ref="B35:C35"/>
    <mergeCell ref="B36:C36"/>
    <mergeCell ref="H35:I35"/>
    <mergeCell ref="H36:I36"/>
    <mergeCell ref="E35:F35"/>
    <mergeCell ref="E36:F36"/>
    <mergeCell ref="B37:C37"/>
    <mergeCell ref="B38:C38"/>
    <mergeCell ref="B39:C39"/>
    <mergeCell ref="B40:C40"/>
    <mergeCell ref="B41:C41"/>
    <mergeCell ref="E40:F40"/>
    <mergeCell ref="E41:F41"/>
    <mergeCell ref="E42:F42"/>
    <mergeCell ref="E43:F43"/>
    <mergeCell ref="E44:F44"/>
    <mergeCell ref="E37:F37"/>
    <mergeCell ref="E38:F38"/>
    <mergeCell ref="E39:F39"/>
    <mergeCell ref="H37:I37"/>
    <mergeCell ref="H38:I38"/>
    <mergeCell ref="H39:I39"/>
    <mergeCell ref="H40:I40"/>
    <mergeCell ref="H41:I41"/>
    <mergeCell ref="H42:I42"/>
    <mergeCell ref="H43:I43"/>
    <mergeCell ref="H44:I44"/>
    <mergeCell ref="B46:C46"/>
    <mergeCell ref="E46:F46"/>
    <mergeCell ref="H46:I46"/>
    <mergeCell ref="B42:C42"/>
    <mergeCell ref="B43:C43"/>
    <mergeCell ref="B44:C44"/>
    <mergeCell ref="B47:C47"/>
    <mergeCell ref="E47:F47"/>
    <mergeCell ref="H47:I47"/>
    <mergeCell ref="B48:C48"/>
    <mergeCell ref="E48:F48"/>
    <mergeCell ref="H48:I48"/>
    <mergeCell ref="B49:C49"/>
    <mergeCell ref="E49:F49"/>
    <mergeCell ref="H49:I49"/>
    <mergeCell ref="B50:C50"/>
    <mergeCell ref="E50:F50"/>
    <mergeCell ref="H50:I50"/>
    <mergeCell ref="B51:C51"/>
    <mergeCell ref="E51:F51"/>
    <mergeCell ref="H51:I51"/>
    <mergeCell ref="B52:C52"/>
    <mergeCell ref="E52:F52"/>
    <mergeCell ref="H52:I52"/>
    <mergeCell ref="B53:C53"/>
    <mergeCell ref="E53:F53"/>
    <mergeCell ref="H53:I53"/>
    <mergeCell ref="B56:C56"/>
    <mergeCell ref="E56:F56"/>
    <mergeCell ref="H56:I56"/>
    <mergeCell ref="B54:C54"/>
    <mergeCell ref="E54:F54"/>
    <mergeCell ref="H54:I54"/>
    <mergeCell ref="B55:C55"/>
    <mergeCell ref="E55:F55"/>
    <mergeCell ref="H55:I55"/>
  </mergeCells>
  <hyperlinks>
    <hyperlink ref="A5" r:id="rId1" display="https://actualicese.com/decreto-1778-del-20-12-202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8"/>
  <sheetViews>
    <sheetView topLeftCell="E10" workbookViewId="0">
      <selection activeCell="T20" sqref="T20"/>
    </sheetView>
  </sheetViews>
  <sheetFormatPr baseColWidth="10" defaultRowHeight="15" x14ac:dyDescent="0.2"/>
  <cols>
    <col min="1" max="1" width="7" style="108" bestFit="1" customWidth="1"/>
    <col min="2" max="2" width="11.7109375" style="108" bestFit="1" customWidth="1"/>
    <col min="3" max="4" width="10.7109375" style="108" customWidth="1"/>
    <col min="5" max="5" width="3.140625" style="108" customWidth="1"/>
    <col min="6" max="6" width="11.7109375" style="108" bestFit="1" customWidth="1"/>
    <col min="7" max="7" width="11.7109375" style="45" bestFit="1" customWidth="1"/>
    <col min="8" max="9" width="10.7109375" style="45" customWidth="1"/>
    <col min="10" max="10" width="3.5703125" style="45" customWidth="1"/>
    <col min="11" max="11" width="7.85546875" style="107" bestFit="1" customWidth="1"/>
    <col min="12" max="12" width="11.7109375" style="45" bestFit="1" customWidth="1"/>
    <col min="13" max="13" width="10.28515625" style="45" customWidth="1"/>
    <col min="14" max="14" width="10.140625" style="45" customWidth="1"/>
    <col min="15" max="15" width="2.7109375" style="45" customWidth="1"/>
    <col min="16" max="16" width="7" style="106" bestFit="1" customWidth="1"/>
    <col min="17" max="17" width="9.5703125" style="45" bestFit="1" customWidth="1"/>
    <col min="18" max="18" width="10.7109375" style="45" customWidth="1"/>
    <col min="19" max="16384" width="11.42578125" style="45"/>
  </cols>
  <sheetData>
    <row r="2" spans="1:19" ht="15.75" x14ac:dyDescent="0.25">
      <c r="A2" s="686" t="s">
        <v>457</v>
      </c>
      <c r="B2" s="686"/>
      <c r="C2" s="686"/>
      <c r="D2" s="686"/>
      <c r="E2" s="686"/>
      <c r="F2" s="686"/>
      <c r="G2" s="686"/>
      <c r="H2" s="686"/>
      <c r="I2" s="686"/>
      <c r="J2" s="686"/>
      <c r="K2" s="686"/>
      <c r="L2" s="686"/>
      <c r="M2" s="686"/>
      <c r="N2" s="686"/>
      <c r="O2" s="686"/>
      <c r="P2" s="686"/>
      <c r="Q2" s="686"/>
      <c r="R2" s="686"/>
      <c r="S2" s="686"/>
    </row>
    <row r="4" spans="1:19" ht="30" x14ac:dyDescent="0.2">
      <c r="A4" s="128" t="s">
        <v>454</v>
      </c>
      <c r="B4" s="128" t="s">
        <v>453</v>
      </c>
      <c r="C4" s="128" t="s">
        <v>455</v>
      </c>
      <c r="D4" s="128" t="s">
        <v>505</v>
      </c>
      <c r="E4" s="132"/>
      <c r="F4" s="128" t="s">
        <v>454</v>
      </c>
      <c r="G4" s="129" t="s">
        <v>453</v>
      </c>
      <c r="H4" s="128" t="s">
        <v>455</v>
      </c>
      <c r="I4" s="128" t="s">
        <v>505</v>
      </c>
      <c r="J4" s="133"/>
      <c r="K4" s="128" t="s">
        <v>454</v>
      </c>
      <c r="L4" s="129" t="s">
        <v>453</v>
      </c>
      <c r="M4" s="128" t="s">
        <v>455</v>
      </c>
      <c r="N4" s="128" t="s">
        <v>505</v>
      </c>
      <c r="O4" s="133"/>
      <c r="P4" s="128" t="s">
        <v>454</v>
      </c>
      <c r="Q4" s="129" t="s">
        <v>453</v>
      </c>
      <c r="R4" s="128" t="s">
        <v>455</v>
      </c>
      <c r="S4" s="128" t="s">
        <v>505</v>
      </c>
    </row>
    <row r="5" spans="1:19" x14ac:dyDescent="0.2">
      <c r="A5" s="110"/>
      <c r="B5" s="110"/>
      <c r="C5" s="110"/>
      <c r="D5" s="110"/>
      <c r="E5" s="110"/>
      <c r="F5" s="110"/>
      <c r="G5" s="112"/>
      <c r="H5" s="112"/>
      <c r="I5" s="112"/>
      <c r="J5" s="112"/>
      <c r="K5" s="130"/>
      <c r="L5" s="112"/>
      <c r="M5" s="112"/>
      <c r="N5" s="112"/>
      <c r="O5" s="112"/>
      <c r="P5" s="131"/>
      <c r="Q5" s="112"/>
      <c r="R5" s="112"/>
      <c r="S5" s="112"/>
    </row>
    <row r="6" spans="1:19" x14ac:dyDescent="0.2">
      <c r="A6" s="110"/>
      <c r="B6" s="110"/>
      <c r="C6" s="110"/>
      <c r="D6" s="110"/>
      <c r="E6" s="110"/>
      <c r="F6" s="120">
        <v>1991</v>
      </c>
      <c r="G6" s="124">
        <v>51720</v>
      </c>
      <c r="H6" s="111">
        <f>(G6-B15)/B15</f>
        <v>0.2606946983546618</v>
      </c>
      <c r="I6" s="126">
        <v>0.26819999999999999</v>
      </c>
      <c r="J6" s="112"/>
      <c r="K6" s="121">
        <v>2001</v>
      </c>
      <c r="L6" s="124">
        <v>286000</v>
      </c>
      <c r="M6" s="111">
        <f>(L6-G15)/G15</f>
        <v>9.9577085736255289E-2</v>
      </c>
      <c r="N6" s="126">
        <v>7.6499999999999999E-2</v>
      </c>
      <c r="O6" s="112"/>
      <c r="P6" s="122">
        <v>2011</v>
      </c>
      <c r="Q6" s="124">
        <v>535600</v>
      </c>
      <c r="R6" s="111">
        <f>(Q6-L15)/L15</f>
        <v>0.04</v>
      </c>
      <c r="S6" s="126">
        <v>3.73E-2</v>
      </c>
    </row>
    <row r="7" spans="1:19" x14ac:dyDescent="0.2">
      <c r="A7" s="110"/>
      <c r="B7" s="110"/>
      <c r="C7" s="110"/>
      <c r="D7" s="110"/>
      <c r="E7" s="110"/>
      <c r="F7" s="120">
        <v>1992</v>
      </c>
      <c r="G7" s="124">
        <v>65190</v>
      </c>
      <c r="H7" s="111">
        <f>(G7-G6)/G6</f>
        <v>0.26044083526682132</v>
      </c>
      <c r="I7" s="126">
        <v>0.25130000000000002</v>
      </c>
      <c r="J7" s="112"/>
      <c r="K7" s="121">
        <v>2002</v>
      </c>
      <c r="L7" s="124">
        <v>309000</v>
      </c>
      <c r="M7" s="113">
        <f>(L7-L6)/L6</f>
        <v>8.0419580419580416E-2</v>
      </c>
      <c r="N7" s="127">
        <v>6.9900000000000004E-2</v>
      </c>
      <c r="O7" s="112"/>
      <c r="P7" s="122">
        <v>2012</v>
      </c>
      <c r="Q7" s="124">
        <v>566700</v>
      </c>
      <c r="R7" s="113">
        <f>(Q7-Q6)/Q6</f>
        <v>5.8065720687079908E-2</v>
      </c>
      <c r="S7" s="127">
        <v>2.4400000000000002E-2</v>
      </c>
    </row>
    <row r="8" spans="1:19" x14ac:dyDescent="0.2">
      <c r="A8" s="110"/>
      <c r="B8" s="110"/>
      <c r="C8" s="110"/>
      <c r="D8" s="110"/>
      <c r="E8" s="110"/>
      <c r="F8" s="120">
        <v>1993</v>
      </c>
      <c r="G8" s="124">
        <v>81510</v>
      </c>
      <c r="H8" s="111">
        <f>(G8-G7)/G7</f>
        <v>0.25034514496088356</v>
      </c>
      <c r="I8" s="126">
        <v>0.22600000000000001</v>
      </c>
      <c r="J8" s="112"/>
      <c r="K8" s="121">
        <v>2003</v>
      </c>
      <c r="L8" s="124">
        <v>332000</v>
      </c>
      <c r="M8" s="113">
        <f t="shared" ref="M8:M15" si="0">(L8-L7)/L7</f>
        <v>7.4433656957928807E-2</v>
      </c>
      <c r="N8" s="127">
        <v>6.4899999999999999E-2</v>
      </c>
      <c r="O8" s="112"/>
      <c r="P8" s="122">
        <v>2013</v>
      </c>
      <c r="Q8" s="124">
        <v>589500</v>
      </c>
      <c r="R8" s="113">
        <f t="shared" ref="R8:R15" si="1">(Q8-Q7)/Q7</f>
        <v>4.0232927474854421E-2</v>
      </c>
      <c r="S8" s="127">
        <v>1.9400000000000001E-2</v>
      </c>
    </row>
    <row r="9" spans="1:19" x14ac:dyDescent="0.2">
      <c r="A9" s="119">
        <v>1984</v>
      </c>
      <c r="B9" s="123">
        <v>11298</v>
      </c>
      <c r="C9" s="114">
        <v>0</v>
      </c>
      <c r="D9" s="125">
        <v>0.18279999999999999</v>
      </c>
      <c r="E9" s="110"/>
      <c r="F9" s="120">
        <v>1994</v>
      </c>
      <c r="G9" s="124">
        <v>98700</v>
      </c>
      <c r="H9" s="111">
        <f t="shared" ref="H9:H15" si="2">(G9-G8)/G8</f>
        <v>0.21089436878910564</v>
      </c>
      <c r="I9" s="126">
        <v>0.22589999999999999</v>
      </c>
      <c r="J9" s="112"/>
      <c r="K9" s="121">
        <v>2004</v>
      </c>
      <c r="L9" s="124">
        <v>358000</v>
      </c>
      <c r="M9" s="113">
        <f t="shared" si="0"/>
        <v>7.8313253012048195E-2</v>
      </c>
      <c r="N9" s="127">
        <v>5.5E-2</v>
      </c>
      <c r="O9" s="112"/>
      <c r="P9" s="122">
        <v>2014</v>
      </c>
      <c r="Q9" s="124">
        <v>616000</v>
      </c>
      <c r="R9" s="113">
        <f t="shared" si="1"/>
        <v>4.4953350296861747E-2</v>
      </c>
      <c r="S9" s="127">
        <v>3.5999999999999997E-2</v>
      </c>
    </row>
    <row r="10" spans="1:19" x14ac:dyDescent="0.2">
      <c r="A10" s="119">
        <v>1985</v>
      </c>
      <c r="B10" s="123">
        <v>13558</v>
      </c>
      <c r="C10" s="115">
        <f t="shared" ref="C10:C15" si="3">(B10-B9)/B9</f>
        <v>0.20003540449637103</v>
      </c>
      <c r="D10" s="125">
        <v>0.22450000000000001</v>
      </c>
      <c r="E10" s="110"/>
      <c r="F10" s="120">
        <v>1995</v>
      </c>
      <c r="G10" s="124">
        <v>118934</v>
      </c>
      <c r="H10" s="111">
        <f t="shared" si="2"/>
        <v>0.20500506585612968</v>
      </c>
      <c r="I10" s="126">
        <v>0.1946</v>
      </c>
      <c r="J10" s="112"/>
      <c r="K10" s="121">
        <v>2005</v>
      </c>
      <c r="L10" s="124">
        <v>381500</v>
      </c>
      <c r="M10" s="113">
        <f t="shared" si="0"/>
        <v>6.5642458100558659E-2</v>
      </c>
      <c r="N10" s="127">
        <v>4.8500000000000001E-2</v>
      </c>
      <c r="O10" s="112"/>
      <c r="P10" s="122">
        <v>2015</v>
      </c>
      <c r="Q10" s="124">
        <v>644350</v>
      </c>
      <c r="R10" s="113">
        <f t="shared" si="1"/>
        <v>4.6022727272727271E-2</v>
      </c>
      <c r="S10" s="127">
        <v>6.7699999999999996E-2</v>
      </c>
    </row>
    <row r="11" spans="1:19" x14ac:dyDescent="0.2">
      <c r="A11" s="119">
        <v>1986</v>
      </c>
      <c r="B11" s="123">
        <v>16811</v>
      </c>
      <c r="C11" s="115">
        <f t="shared" si="3"/>
        <v>0.23993214338397995</v>
      </c>
      <c r="D11" s="125">
        <v>0.20949999999999999</v>
      </c>
      <c r="E11" s="110"/>
      <c r="F11" s="120">
        <v>1996</v>
      </c>
      <c r="G11" s="124">
        <v>142125</v>
      </c>
      <c r="H11" s="111">
        <f t="shared" si="2"/>
        <v>0.19499049893218087</v>
      </c>
      <c r="I11" s="126">
        <v>0.21629999999999999</v>
      </c>
      <c r="J11" s="112"/>
      <c r="K11" s="121">
        <v>2006</v>
      </c>
      <c r="L11" s="124">
        <v>408000</v>
      </c>
      <c r="M11" s="113">
        <f t="shared" si="0"/>
        <v>6.9462647444298822E-2</v>
      </c>
      <c r="N11" s="127">
        <v>4.48E-2</v>
      </c>
      <c r="O11" s="112"/>
      <c r="P11" s="122">
        <v>2016</v>
      </c>
      <c r="Q11" s="124">
        <v>689455</v>
      </c>
      <c r="R11" s="113">
        <f t="shared" si="1"/>
        <v>7.0000775975789561E-2</v>
      </c>
      <c r="S11" s="127">
        <v>5.7500000000000002E-2</v>
      </c>
    </row>
    <row r="12" spans="1:19" x14ac:dyDescent="0.2">
      <c r="A12" s="119">
        <v>1987</v>
      </c>
      <c r="B12" s="123">
        <v>20510</v>
      </c>
      <c r="C12" s="115">
        <f t="shared" si="3"/>
        <v>0.22003450121943965</v>
      </c>
      <c r="D12" s="125">
        <v>0.2402</v>
      </c>
      <c r="E12" s="110"/>
      <c r="F12" s="120">
        <v>1997</v>
      </c>
      <c r="G12" s="124">
        <v>172005</v>
      </c>
      <c r="H12" s="111">
        <f t="shared" si="2"/>
        <v>0.21023746701846965</v>
      </c>
      <c r="I12" s="126">
        <v>0.17680000000000001</v>
      </c>
      <c r="J12" s="112"/>
      <c r="K12" s="121">
        <v>2007</v>
      </c>
      <c r="L12" s="124">
        <v>433700</v>
      </c>
      <c r="M12" s="113">
        <f t="shared" si="0"/>
        <v>6.2990196078431371E-2</v>
      </c>
      <c r="N12" s="127">
        <v>5.6899999999999999E-2</v>
      </c>
      <c r="O12" s="112"/>
      <c r="P12" s="122">
        <v>2017</v>
      </c>
      <c r="Q12" s="124">
        <v>737717</v>
      </c>
      <c r="R12" s="113">
        <f t="shared" si="1"/>
        <v>7.0000217563147699E-2</v>
      </c>
      <c r="S12" s="127">
        <v>4.0899999999999999E-2</v>
      </c>
    </row>
    <row r="13" spans="1:19" x14ac:dyDescent="0.2">
      <c r="A13" s="119">
        <v>1988</v>
      </c>
      <c r="B13" s="123">
        <v>25637</v>
      </c>
      <c r="C13" s="115">
        <f t="shared" si="3"/>
        <v>0.2499756216479766</v>
      </c>
      <c r="D13" s="125">
        <v>0.28120000000000001</v>
      </c>
      <c r="E13" s="110"/>
      <c r="F13" s="120">
        <v>1998</v>
      </c>
      <c r="G13" s="124">
        <v>203825</v>
      </c>
      <c r="H13" s="111">
        <f t="shared" si="2"/>
        <v>0.18499462224935323</v>
      </c>
      <c r="I13" s="126">
        <v>0.16700000000000001</v>
      </c>
      <c r="J13" s="112"/>
      <c r="K13" s="121">
        <v>2008</v>
      </c>
      <c r="L13" s="124">
        <v>461500</v>
      </c>
      <c r="M13" s="113">
        <f t="shared" si="0"/>
        <v>6.4099608023979709E-2</v>
      </c>
      <c r="N13" s="127">
        <v>7.6700000000000004E-2</v>
      </c>
      <c r="O13" s="112"/>
      <c r="P13" s="122">
        <v>2018</v>
      </c>
      <c r="Q13" s="124">
        <v>781242</v>
      </c>
      <c r="R13" s="113">
        <f t="shared" si="1"/>
        <v>5.8999589273393459E-2</v>
      </c>
      <c r="S13" s="127">
        <v>3.1800000000000002E-2</v>
      </c>
    </row>
    <row r="14" spans="1:19" x14ac:dyDescent="0.2">
      <c r="A14" s="119">
        <v>1989</v>
      </c>
      <c r="B14" s="123">
        <v>32560</v>
      </c>
      <c r="C14" s="115">
        <f t="shared" si="3"/>
        <v>0.27003939618520106</v>
      </c>
      <c r="D14" s="125">
        <v>0.26119999999999999</v>
      </c>
      <c r="E14" s="110"/>
      <c r="F14" s="120">
        <v>1999</v>
      </c>
      <c r="G14" s="124">
        <v>236438</v>
      </c>
      <c r="H14" s="111">
        <f t="shared" si="2"/>
        <v>0.16000490616950816</v>
      </c>
      <c r="I14" s="126">
        <v>9.2299999999999993E-2</v>
      </c>
      <c r="J14" s="112"/>
      <c r="K14" s="121">
        <v>2009</v>
      </c>
      <c r="L14" s="124">
        <v>496900</v>
      </c>
      <c r="M14" s="113">
        <f t="shared" si="0"/>
        <v>7.6706392199349951E-2</v>
      </c>
      <c r="N14" s="127">
        <v>0.02</v>
      </c>
      <c r="O14" s="112"/>
      <c r="P14" s="122">
        <v>2019</v>
      </c>
      <c r="Q14" s="124">
        <v>828116</v>
      </c>
      <c r="R14" s="113">
        <f t="shared" si="1"/>
        <v>5.9999334393184188E-2</v>
      </c>
      <c r="S14" s="127">
        <v>3.7999999999999999E-2</v>
      </c>
    </row>
    <row r="15" spans="1:19" x14ac:dyDescent="0.2">
      <c r="A15" s="120">
        <v>1990</v>
      </c>
      <c r="B15" s="124">
        <v>41025</v>
      </c>
      <c r="C15" s="115">
        <f t="shared" si="3"/>
        <v>0.2599815724815725</v>
      </c>
      <c r="D15" s="125">
        <v>0.3236</v>
      </c>
      <c r="E15" s="110"/>
      <c r="F15" s="120">
        <v>2000</v>
      </c>
      <c r="G15" s="124">
        <v>260100</v>
      </c>
      <c r="H15" s="111">
        <f t="shared" si="2"/>
        <v>0.10007697578223466</v>
      </c>
      <c r="I15" s="126">
        <v>8.7499999999999994E-2</v>
      </c>
      <c r="J15" s="112"/>
      <c r="K15" s="121">
        <v>2010</v>
      </c>
      <c r="L15" s="124">
        <v>515000</v>
      </c>
      <c r="M15" s="113">
        <f t="shared" si="0"/>
        <v>3.6425840209297643E-2</v>
      </c>
      <c r="N15" s="127">
        <v>3.1699999999999999E-2</v>
      </c>
      <c r="O15" s="112"/>
      <c r="P15" s="122">
        <v>2020</v>
      </c>
      <c r="Q15" s="124">
        <v>877803</v>
      </c>
      <c r="R15" s="113">
        <f t="shared" si="1"/>
        <v>6.0000048302411742E-2</v>
      </c>
      <c r="S15" s="260">
        <v>1.61E-2</v>
      </c>
    </row>
    <row r="16" spans="1:19" ht="15.75" x14ac:dyDescent="0.25">
      <c r="P16" s="118">
        <v>2021</v>
      </c>
      <c r="Q16" s="116">
        <v>908526</v>
      </c>
      <c r="R16" s="117">
        <f t="shared" ref="R16" si="4">(Q16-Q15)/Q15</f>
        <v>3.4999880383183926E-2</v>
      </c>
      <c r="S16" s="127"/>
    </row>
    <row r="18" spans="1:18" ht="30" x14ac:dyDescent="0.2">
      <c r="A18" s="128" t="s">
        <v>454</v>
      </c>
      <c r="B18" s="128" t="s">
        <v>456</v>
      </c>
      <c r="C18" s="128" t="s">
        <v>455</v>
      </c>
      <c r="D18" s="132"/>
      <c r="E18" s="132"/>
      <c r="F18" s="128" t="s">
        <v>454</v>
      </c>
      <c r="G18" s="128" t="s">
        <v>456</v>
      </c>
      <c r="H18" s="128" t="s">
        <v>455</v>
      </c>
      <c r="I18" s="77"/>
      <c r="J18" s="77"/>
      <c r="K18" s="128" t="s">
        <v>454</v>
      </c>
      <c r="L18" s="128" t="s">
        <v>456</v>
      </c>
      <c r="M18" s="128" t="s">
        <v>455</v>
      </c>
      <c r="N18" s="77"/>
      <c r="O18" s="77"/>
      <c r="P18" s="128" t="s">
        <v>454</v>
      </c>
      <c r="Q18" s="128" t="s">
        <v>456</v>
      </c>
      <c r="R18" s="128" t="s">
        <v>455</v>
      </c>
    </row>
    <row r="19" spans="1:18" x14ac:dyDescent="0.2">
      <c r="A19" s="45"/>
      <c r="B19" s="45"/>
      <c r="C19" s="45"/>
      <c r="D19" s="45"/>
      <c r="E19" s="110"/>
      <c r="F19" s="120">
        <v>1991</v>
      </c>
      <c r="G19" s="124">
        <v>4787</v>
      </c>
      <c r="H19" s="111">
        <f>(G19-B28)/B28</f>
        <v>0.26056616194865045</v>
      </c>
      <c r="I19" s="112"/>
      <c r="J19" s="112"/>
      <c r="K19" s="121">
        <v>2001</v>
      </c>
      <c r="L19" s="124">
        <v>30000</v>
      </c>
      <c r="M19" s="111">
        <f>(L19-G28)/G28</f>
        <v>0.13580433877257411</v>
      </c>
      <c r="N19" s="111"/>
      <c r="O19" s="112"/>
      <c r="P19" s="122">
        <v>2011</v>
      </c>
      <c r="Q19" s="124">
        <v>63600</v>
      </c>
      <c r="R19" s="111">
        <f>(Q19-L28)/L28</f>
        <v>3.4146341463414637E-2</v>
      </c>
    </row>
    <row r="20" spans="1:18" x14ac:dyDescent="0.2">
      <c r="A20" s="45"/>
      <c r="B20" s="45"/>
      <c r="C20" s="45"/>
      <c r="D20" s="45"/>
      <c r="E20" s="110"/>
      <c r="F20" s="120">
        <v>1992</v>
      </c>
      <c r="G20" s="124">
        <v>6033</v>
      </c>
      <c r="H20" s="111">
        <f>(G20-G19)/G19</f>
        <v>0.26028828076039273</v>
      </c>
      <c r="I20" s="112"/>
      <c r="J20" s="112"/>
      <c r="K20" s="121">
        <v>2002</v>
      </c>
      <c r="L20" s="124">
        <v>34000</v>
      </c>
      <c r="M20" s="113">
        <f>(L20-L19)/L19</f>
        <v>0.13333333333333333</v>
      </c>
      <c r="N20" s="113"/>
      <c r="O20" s="112"/>
      <c r="P20" s="122">
        <v>2012</v>
      </c>
      <c r="Q20" s="124">
        <v>67800</v>
      </c>
      <c r="R20" s="113">
        <f>(Q20-Q19)/Q19</f>
        <v>6.6037735849056603E-2</v>
      </c>
    </row>
    <row r="21" spans="1:18" x14ac:dyDescent="0.2">
      <c r="A21" s="45"/>
      <c r="B21" s="45"/>
      <c r="C21" s="45"/>
      <c r="D21" s="45"/>
      <c r="E21" s="110"/>
      <c r="F21" s="120">
        <v>1993</v>
      </c>
      <c r="G21" s="124">
        <v>7542</v>
      </c>
      <c r="H21" s="111">
        <f>(G21-G20)/G20</f>
        <v>0.25012431626056686</v>
      </c>
      <c r="I21" s="112"/>
      <c r="J21" s="112"/>
      <c r="K21" s="121">
        <v>2003</v>
      </c>
      <c r="L21" s="124">
        <v>37500</v>
      </c>
      <c r="M21" s="113">
        <f t="shared" ref="M21:M28" si="5">(L21-L20)/L20</f>
        <v>0.10294117647058823</v>
      </c>
      <c r="N21" s="113"/>
      <c r="O21" s="112"/>
      <c r="P21" s="122">
        <v>2013</v>
      </c>
      <c r="Q21" s="124">
        <v>70500</v>
      </c>
      <c r="R21" s="113">
        <f t="shared" ref="R21:R28" si="6">(Q21-Q20)/Q20</f>
        <v>3.9823008849557522E-2</v>
      </c>
    </row>
    <row r="22" spans="1:18" x14ac:dyDescent="0.2">
      <c r="A22" s="119">
        <v>1984</v>
      </c>
      <c r="B22" s="123">
        <v>1350</v>
      </c>
      <c r="C22" s="114">
        <v>0</v>
      </c>
      <c r="D22" s="110"/>
      <c r="E22" s="110"/>
      <c r="F22" s="120">
        <v>1994</v>
      </c>
      <c r="G22" s="124">
        <v>8975</v>
      </c>
      <c r="H22" s="111">
        <f t="shared" ref="H22:H28" si="7">(G22-G21)/G21</f>
        <v>0.19000265181649431</v>
      </c>
      <c r="I22" s="112"/>
      <c r="J22" s="112"/>
      <c r="K22" s="121">
        <v>2004</v>
      </c>
      <c r="L22" s="124">
        <v>41600</v>
      </c>
      <c r="M22" s="113">
        <f t="shared" si="5"/>
        <v>0.10933333333333334</v>
      </c>
      <c r="N22" s="113"/>
      <c r="O22" s="112"/>
      <c r="P22" s="122">
        <v>2014</v>
      </c>
      <c r="Q22" s="124">
        <v>72000</v>
      </c>
      <c r="R22" s="113">
        <f t="shared" si="6"/>
        <v>2.1276595744680851E-2</v>
      </c>
    </row>
    <row r="23" spans="1:18" x14ac:dyDescent="0.2">
      <c r="A23" s="119">
        <v>1985</v>
      </c>
      <c r="B23" s="123">
        <v>13558</v>
      </c>
      <c r="C23" s="115" t="e">
        <f>(B23-B19)/B19</f>
        <v>#DIV/0!</v>
      </c>
      <c r="D23" s="110"/>
      <c r="E23" s="110"/>
      <c r="F23" s="120">
        <v>1995</v>
      </c>
      <c r="G23" s="124">
        <v>10815</v>
      </c>
      <c r="H23" s="111">
        <f t="shared" si="7"/>
        <v>0.20501392757660167</v>
      </c>
      <c r="I23" s="112"/>
      <c r="J23" s="112"/>
      <c r="K23" s="121">
        <v>2005</v>
      </c>
      <c r="L23" s="124">
        <v>44500</v>
      </c>
      <c r="M23" s="113">
        <f t="shared" si="5"/>
        <v>6.9711538461538464E-2</v>
      </c>
      <c r="N23" s="113"/>
      <c r="O23" s="112"/>
      <c r="P23" s="122">
        <v>2015</v>
      </c>
      <c r="Q23" s="124">
        <v>74000</v>
      </c>
      <c r="R23" s="113">
        <f t="shared" si="6"/>
        <v>2.7777777777777776E-2</v>
      </c>
    </row>
    <row r="24" spans="1:18" x14ac:dyDescent="0.2">
      <c r="A24" s="119">
        <v>1986</v>
      </c>
      <c r="B24" s="123">
        <v>16811</v>
      </c>
      <c r="C24" s="115">
        <f>(B24-B23)/B23</f>
        <v>0.23993214338397995</v>
      </c>
      <c r="D24" s="110"/>
      <c r="E24" s="110"/>
      <c r="F24" s="120">
        <v>1996</v>
      </c>
      <c r="G24" s="124">
        <v>13567</v>
      </c>
      <c r="H24" s="111">
        <f t="shared" si="7"/>
        <v>0.25446139620896902</v>
      </c>
      <c r="I24" s="112"/>
      <c r="J24" s="112"/>
      <c r="K24" s="121">
        <v>2006</v>
      </c>
      <c r="L24" s="124">
        <v>47700</v>
      </c>
      <c r="M24" s="113">
        <f t="shared" si="5"/>
        <v>7.1910112359550568E-2</v>
      </c>
      <c r="N24" s="113"/>
      <c r="O24" s="112"/>
      <c r="P24" s="122">
        <v>2016</v>
      </c>
      <c r="Q24" s="124">
        <v>77700</v>
      </c>
      <c r="R24" s="113">
        <f t="shared" si="6"/>
        <v>0.05</v>
      </c>
    </row>
    <row r="25" spans="1:18" x14ac:dyDescent="0.2">
      <c r="A25" s="119">
        <v>1987</v>
      </c>
      <c r="B25" s="123">
        <v>20510</v>
      </c>
      <c r="C25" s="115">
        <f>(B25-B24)/B24</f>
        <v>0.22003450121943965</v>
      </c>
      <c r="D25" s="110"/>
      <c r="E25" s="110"/>
      <c r="F25" s="120">
        <v>1997</v>
      </c>
      <c r="G25" s="124">
        <v>17250</v>
      </c>
      <c r="H25" s="111">
        <f t="shared" si="7"/>
        <v>0.2714675315102823</v>
      </c>
      <c r="I25" s="112"/>
      <c r="J25" s="112"/>
      <c r="K25" s="121">
        <v>2007</v>
      </c>
      <c r="L25" s="124">
        <v>50800</v>
      </c>
      <c r="M25" s="113">
        <f t="shared" si="5"/>
        <v>6.4989517819706494E-2</v>
      </c>
      <c r="N25" s="113"/>
      <c r="O25" s="112"/>
      <c r="P25" s="122">
        <v>2017</v>
      </c>
      <c r="Q25" s="124">
        <v>83140</v>
      </c>
      <c r="R25" s="113">
        <f t="shared" si="6"/>
        <v>7.0012870012870015E-2</v>
      </c>
    </row>
    <row r="26" spans="1:18" x14ac:dyDescent="0.2">
      <c r="A26" s="119">
        <v>1988</v>
      </c>
      <c r="B26" s="123">
        <v>25637</v>
      </c>
      <c r="C26" s="115">
        <f>(B26-B25)/B25</f>
        <v>0.2499756216479766</v>
      </c>
      <c r="D26" s="110"/>
      <c r="E26" s="110"/>
      <c r="F26" s="120">
        <v>1998</v>
      </c>
      <c r="G26" s="124">
        <v>20700</v>
      </c>
      <c r="H26" s="111">
        <f t="shared" si="7"/>
        <v>0.2</v>
      </c>
      <c r="I26" s="112"/>
      <c r="J26" s="112"/>
      <c r="K26" s="121">
        <v>2008</v>
      </c>
      <c r="L26" s="124">
        <v>55000</v>
      </c>
      <c r="M26" s="113">
        <f t="shared" si="5"/>
        <v>8.2677165354330714E-2</v>
      </c>
      <c r="N26" s="113"/>
      <c r="O26" s="112"/>
      <c r="P26" s="122">
        <v>2018</v>
      </c>
      <c r="Q26" s="124">
        <v>88211</v>
      </c>
      <c r="R26" s="113">
        <f t="shared" si="6"/>
        <v>6.0993504931440942E-2</v>
      </c>
    </row>
    <row r="27" spans="1:18" x14ac:dyDescent="0.2">
      <c r="A27" s="119">
        <v>1989</v>
      </c>
      <c r="B27" s="123">
        <v>32560</v>
      </c>
      <c r="C27" s="115">
        <f>(B27-B26)/B26</f>
        <v>0.27003939618520106</v>
      </c>
      <c r="D27" s="110"/>
      <c r="E27" s="110"/>
      <c r="F27" s="120">
        <v>1999</v>
      </c>
      <c r="G27" s="124">
        <v>24012</v>
      </c>
      <c r="H27" s="111">
        <f t="shared" si="7"/>
        <v>0.16</v>
      </c>
      <c r="I27" s="112"/>
      <c r="J27" s="112"/>
      <c r="K27" s="121">
        <v>2009</v>
      </c>
      <c r="L27" s="124">
        <v>59300</v>
      </c>
      <c r="M27" s="113">
        <f t="shared" si="5"/>
        <v>7.8181818181818186E-2</v>
      </c>
      <c r="N27" s="113"/>
      <c r="O27" s="112"/>
      <c r="P27" s="122">
        <v>2019</v>
      </c>
      <c r="Q27" s="124">
        <v>97032</v>
      </c>
      <c r="R27" s="113">
        <f t="shared" si="6"/>
        <v>9.9998866354536281E-2</v>
      </c>
    </row>
    <row r="28" spans="1:18" x14ac:dyDescent="0.2">
      <c r="A28" s="120">
        <v>1990</v>
      </c>
      <c r="B28" s="124">
        <v>3797.5</v>
      </c>
      <c r="C28" s="115">
        <v>0</v>
      </c>
      <c r="D28" s="110"/>
      <c r="E28" s="110"/>
      <c r="F28" s="120">
        <v>2000</v>
      </c>
      <c r="G28" s="124">
        <v>26413</v>
      </c>
      <c r="H28" s="111">
        <f t="shared" si="7"/>
        <v>9.9991670831251045E-2</v>
      </c>
      <c r="I28" s="112"/>
      <c r="J28" s="112"/>
      <c r="K28" s="121">
        <v>2010</v>
      </c>
      <c r="L28" s="124">
        <v>61500</v>
      </c>
      <c r="M28" s="113">
        <f t="shared" si="5"/>
        <v>3.7099494097807759E-2</v>
      </c>
      <c r="N28" s="113"/>
      <c r="O28" s="112"/>
      <c r="P28" s="122">
        <v>2020</v>
      </c>
      <c r="Q28" s="124">
        <v>102854</v>
      </c>
      <c r="R28" s="113">
        <f t="shared" si="6"/>
        <v>6.0000824470277846E-2</v>
      </c>
    </row>
    <row r="29" spans="1:18" ht="15.75" x14ac:dyDescent="0.25">
      <c r="P29" s="118">
        <v>2021</v>
      </c>
      <c r="Q29" s="116">
        <v>106454</v>
      </c>
      <c r="R29" s="117">
        <f t="shared" ref="R29" si="8">(Q29-Q28)/Q28</f>
        <v>3.5001069477122913E-2</v>
      </c>
    </row>
    <row r="36" spans="8:19" x14ac:dyDescent="0.2">
      <c r="R36" s="75"/>
      <c r="S36" s="75"/>
    </row>
    <row r="37" spans="8:19" x14ac:dyDescent="0.2">
      <c r="H37" s="75"/>
      <c r="I37" s="75"/>
      <c r="J37" s="75"/>
      <c r="K37" s="109"/>
    </row>
    <row r="38" spans="8:19" x14ac:dyDescent="0.2">
      <c r="H38" s="75"/>
      <c r="I38" s="75"/>
      <c r="J38" s="75"/>
      <c r="K38" s="109"/>
    </row>
  </sheetData>
  <mergeCells count="1">
    <mergeCell ref="A2:S2"/>
  </mergeCells>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zoomScaleNormal="100" workbookViewId="0">
      <selection activeCell="C5" sqref="C5"/>
    </sheetView>
  </sheetViews>
  <sheetFormatPr baseColWidth="10" defaultRowHeight="14.25" x14ac:dyDescent="0.2"/>
  <cols>
    <col min="1" max="1" width="6.140625" style="188" customWidth="1"/>
    <col min="2" max="2" width="7.140625" style="147" customWidth="1"/>
    <col min="3" max="3" width="75.5703125" style="147" customWidth="1"/>
    <col min="4" max="4" width="9.85546875" style="147" customWidth="1"/>
    <col min="5" max="5" width="4.7109375" style="147" customWidth="1"/>
    <col min="6" max="6" width="14.7109375" style="147" customWidth="1"/>
    <col min="7" max="7" width="7.5703125" style="147" customWidth="1"/>
    <col min="8" max="8" width="5.85546875" style="147" customWidth="1"/>
    <col min="9" max="9" width="5.5703125" style="147" customWidth="1"/>
    <col min="10" max="10" width="9" style="147" customWidth="1"/>
    <col min="11" max="11" width="15.140625" style="147" customWidth="1"/>
    <col min="12" max="12" width="21" style="146" bestFit="1" customWidth="1"/>
    <col min="13" max="13" width="14.42578125" style="147" bestFit="1" customWidth="1"/>
    <col min="14" max="16384" width="11.42578125" style="147"/>
  </cols>
  <sheetData>
    <row r="2" spans="1:4" ht="50.1" customHeight="1" x14ac:dyDescent="0.2">
      <c r="A2" s="184" t="s">
        <v>752</v>
      </c>
      <c r="B2" s="184" t="s">
        <v>400</v>
      </c>
      <c r="C2" s="167" t="s">
        <v>398</v>
      </c>
      <c r="D2" s="185" t="s">
        <v>399</v>
      </c>
    </row>
    <row r="3" spans="1:4" ht="45.75" x14ac:dyDescent="0.25">
      <c r="A3" s="186">
        <v>92</v>
      </c>
      <c r="B3" s="187"/>
      <c r="C3" s="78" t="s">
        <v>753</v>
      </c>
      <c r="D3" s="133">
        <v>82</v>
      </c>
    </row>
    <row r="4" spans="1:4" ht="15" x14ac:dyDescent="0.25">
      <c r="A4" s="169"/>
      <c r="B4" s="187" t="s">
        <v>396</v>
      </c>
      <c r="C4" s="181" t="s">
        <v>397</v>
      </c>
      <c r="D4" s="133"/>
    </row>
    <row r="5" spans="1:4" ht="128.25" customHeight="1" x14ac:dyDescent="0.25">
      <c r="A5" s="169"/>
      <c r="B5" s="187"/>
      <c r="C5" s="235" t="s">
        <v>757</v>
      </c>
      <c r="D5" s="133"/>
    </row>
    <row r="6" spans="1:4" ht="15.75" x14ac:dyDescent="0.25">
      <c r="A6" s="169"/>
      <c r="B6" s="187"/>
      <c r="C6" s="234" t="s">
        <v>0</v>
      </c>
      <c r="D6" s="133"/>
    </row>
    <row r="7" spans="1:4" ht="110.25" customHeight="1" x14ac:dyDescent="0.25">
      <c r="A7" s="169"/>
      <c r="B7" s="187"/>
      <c r="C7" s="236" t="s">
        <v>775</v>
      </c>
      <c r="D7" s="133"/>
    </row>
    <row r="8" spans="1:4" ht="42" customHeight="1" x14ac:dyDescent="0.25">
      <c r="A8" s="169"/>
      <c r="B8" s="187"/>
      <c r="C8" s="237" t="s">
        <v>758</v>
      </c>
      <c r="D8" s="133"/>
    </row>
    <row r="9" spans="1:4" ht="76.5" customHeight="1" x14ac:dyDescent="0.25">
      <c r="A9" s="169"/>
      <c r="B9" s="187"/>
      <c r="C9" s="236" t="s">
        <v>759</v>
      </c>
      <c r="D9" s="133"/>
    </row>
    <row r="10" spans="1:4" ht="90.75" customHeight="1" x14ac:dyDescent="0.25">
      <c r="A10" s="169"/>
      <c r="B10" s="187"/>
      <c r="C10" s="261" t="s">
        <v>776</v>
      </c>
      <c r="D10" s="133"/>
    </row>
    <row r="11" spans="1:4" ht="34.5" customHeight="1" x14ac:dyDescent="0.25">
      <c r="A11" s="169"/>
      <c r="B11" s="187"/>
      <c r="C11" s="237" t="s">
        <v>760</v>
      </c>
      <c r="D11" s="133"/>
    </row>
    <row r="12" spans="1:4" ht="60" x14ac:dyDescent="0.25">
      <c r="A12" s="169"/>
      <c r="B12" s="187"/>
      <c r="C12" s="236" t="s">
        <v>761</v>
      </c>
      <c r="D12" s="133"/>
    </row>
    <row r="13" spans="1:4" ht="90" x14ac:dyDescent="0.25">
      <c r="A13" s="169"/>
      <c r="B13" s="187"/>
      <c r="C13" s="236" t="s">
        <v>762</v>
      </c>
      <c r="D13" s="133"/>
    </row>
    <row r="14" spans="1:4" ht="75" x14ac:dyDescent="0.25">
      <c r="A14" s="169"/>
      <c r="B14" s="187"/>
      <c r="C14" s="236" t="s">
        <v>763</v>
      </c>
      <c r="D14" s="133"/>
    </row>
    <row r="15" spans="1:4" ht="30" x14ac:dyDescent="0.25">
      <c r="A15" s="169"/>
      <c r="B15" s="187"/>
      <c r="C15" s="236" t="s">
        <v>764</v>
      </c>
      <c r="D15" s="133"/>
    </row>
    <row r="16" spans="1:4" ht="15.75" x14ac:dyDescent="0.25">
      <c r="A16" s="169"/>
      <c r="B16" s="187"/>
      <c r="C16" s="238" t="s">
        <v>765</v>
      </c>
      <c r="D16" s="133"/>
    </row>
    <row r="17" spans="1:6" ht="15" customHeight="1" x14ac:dyDescent="0.25">
      <c r="A17" s="169"/>
      <c r="B17" s="187"/>
      <c r="C17" s="311" t="s">
        <v>766</v>
      </c>
      <c r="D17" s="133"/>
    </row>
    <row r="18" spans="1:6" ht="15" x14ac:dyDescent="0.25">
      <c r="A18" s="169"/>
      <c r="B18" s="187"/>
      <c r="C18" s="311" t="s">
        <v>772</v>
      </c>
      <c r="D18" s="133"/>
    </row>
    <row r="19" spans="1:6" ht="15" customHeight="1" x14ac:dyDescent="0.25">
      <c r="A19" s="169"/>
      <c r="B19" s="187"/>
      <c r="C19" s="311" t="s">
        <v>769</v>
      </c>
      <c r="D19" s="133"/>
      <c r="F19" s="147">
        <v>32</v>
      </c>
    </row>
    <row r="20" spans="1:6" ht="15" customHeight="1" x14ac:dyDescent="0.25">
      <c r="A20" s="169"/>
      <c r="B20" s="187"/>
      <c r="C20" s="311" t="s">
        <v>770</v>
      </c>
      <c r="D20" s="133"/>
      <c r="F20" s="147">
        <v>-9</v>
      </c>
    </row>
    <row r="21" spans="1:6" ht="15" customHeight="1" x14ac:dyDescent="0.25">
      <c r="A21" s="169"/>
      <c r="B21" s="187"/>
      <c r="C21" s="311" t="s">
        <v>771</v>
      </c>
      <c r="D21" s="133"/>
      <c r="F21" s="147">
        <f>SUM(F19:F20)</f>
        <v>23</v>
      </c>
    </row>
    <row r="22" spans="1:6" ht="15" x14ac:dyDescent="0.25">
      <c r="A22" s="169"/>
      <c r="B22" s="187"/>
      <c r="C22" s="236" t="s">
        <v>767</v>
      </c>
      <c r="D22" s="133"/>
    </row>
    <row r="23" spans="1:6" ht="15" x14ac:dyDescent="0.25">
      <c r="A23" s="169"/>
      <c r="B23" s="187"/>
      <c r="C23" s="236" t="s">
        <v>768</v>
      </c>
      <c r="D23" s="133"/>
      <c r="F23" s="147">
        <f>F21*0.75</f>
        <v>17.25</v>
      </c>
    </row>
    <row r="24" spans="1:6" ht="60" x14ac:dyDescent="0.25">
      <c r="A24" s="169"/>
      <c r="B24" s="187"/>
      <c r="C24" s="236" t="s">
        <v>773</v>
      </c>
      <c r="D24" s="133"/>
      <c r="F24" s="147">
        <v>9</v>
      </c>
    </row>
    <row r="25" spans="1:6" ht="91.5" x14ac:dyDescent="0.25">
      <c r="A25" s="169"/>
      <c r="B25" s="187"/>
      <c r="C25" s="236" t="s">
        <v>842</v>
      </c>
      <c r="D25" s="133"/>
      <c r="F25" s="147">
        <f>SUM(F23:F24)</f>
        <v>26.25</v>
      </c>
    </row>
    <row r="26" spans="1:6" ht="15.75" x14ac:dyDescent="0.25">
      <c r="A26" s="169"/>
      <c r="B26" s="187"/>
      <c r="C26" s="112" t="s">
        <v>774</v>
      </c>
      <c r="D26" s="133"/>
    </row>
    <row r="27" spans="1:6" ht="76.5" x14ac:dyDescent="0.25">
      <c r="A27" s="169"/>
      <c r="B27" s="187"/>
      <c r="C27" s="312" t="s">
        <v>843</v>
      </c>
      <c r="D27" s="133"/>
    </row>
    <row r="28" spans="1:6" ht="76.5" x14ac:dyDescent="0.25">
      <c r="A28" s="169"/>
      <c r="B28" s="187"/>
      <c r="C28" s="312" t="s">
        <v>844</v>
      </c>
      <c r="D28" s="133"/>
    </row>
    <row r="29" spans="1:6" ht="93" x14ac:dyDescent="0.25">
      <c r="A29" s="169"/>
      <c r="B29" s="187"/>
      <c r="C29" s="202" t="s">
        <v>845</v>
      </c>
      <c r="D29" s="133"/>
    </row>
    <row r="30" spans="1:6" ht="15" x14ac:dyDescent="0.25">
      <c r="A30" s="169"/>
      <c r="B30" s="187"/>
      <c r="C30" s="182"/>
      <c r="D30" s="133"/>
    </row>
    <row r="31" spans="1:6" ht="93.75" x14ac:dyDescent="0.25">
      <c r="A31" s="169"/>
      <c r="B31" s="187"/>
      <c r="C31" s="202" t="s">
        <v>777</v>
      </c>
      <c r="D31" s="133"/>
    </row>
    <row r="32" spans="1:6" ht="15" x14ac:dyDescent="0.25">
      <c r="A32" s="169"/>
      <c r="B32" s="187"/>
      <c r="C32" s="189"/>
      <c r="D32" s="133"/>
    </row>
    <row r="33" spans="1:12" ht="15" x14ac:dyDescent="0.25">
      <c r="A33" s="169"/>
      <c r="B33" s="187"/>
      <c r="C33" s="183"/>
      <c r="D33" s="133"/>
    </row>
    <row r="36" spans="1:12" ht="15" x14ac:dyDescent="0.25">
      <c r="A36" s="191"/>
      <c r="B36" s="164"/>
      <c r="C36" s="168" t="s">
        <v>653</v>
      </c>
      <c r="D36" s="164"/>
    </row>
    <row r="37" spans="1:12" ht="15" x14ac:dyDescent="0.2">
      <c r="A37" s="191"/>
      <c r="B37" s="164"/>
      <c r="C37" s="190" t="s">
        <v>0</v>
      </c>
      <c r="D37" s="164"/>
    </row>
    <row r="38" spans="1:12" ht="172.5" customHeight="1" x14ac:dyDescent="0.2">
      <c r="A38" s="191"/>
      <c r="B38" s="164"/>
      <c r="C38" s="239" t="s">
        <v>814</v>
      </c>
      <c r="D38" s="164"/>
      <c r="F38" s="397">
        <v>100</v>
      </c>
      <c r="H38" s="399">
        <f>F38*1.3</f>
        <v>130</v>
      </c>
      <c r="J38" s="398">
        <f>F38*1.2</f>
        <v>120</v>
      </c>
      <c r="L38" s="400">
        <f>71*35607</f>
        <v>2528097</v>
      </c>
    </row>
    <row r="39" spans="1:12" ht="153.75" customHeight="1" x14ac:dyDescent="0.2">
      <c r="A39" s="191"/>
      <c r="B39" s="164"/>
      <c r="C39" s="240" t="s">
        <v>778</v>
      </c>
      <c r="D39" s="164"/>
    </row>
    <row r="40" spans="1:12" ht="40.5" customHeight="1" x14ac:dyDescent="0.2">
      <c r="A40" s="191"/>
      <c r="B40" s="164"/>
      <c r="C40" s="240" t="s">
        <v>779</v>
      </c>
      <c r="D40" s="164"/>
    </row>
    <row r="41" spans="1:12" ht="80.25" customHeight="1" x14ac:dyDescent="0.2">
      <c r="A41" s="191"/>
      <c r="B41" s="164"/>
      <c r="C41" s="239" t="s">
        <v>780</v>
      </c>
      <c r="D41" s="164"/>
    </row>
    <row r="42" spans="1:12" ht="143.25" customHeight="1" x14ac:dyDescent="0.2">
      <c r="A42" s="191"/>
      <c r="B42" s="164"/>
      <c r="C42" s="239" t="s">
        <v>781</v>
      </c>
      <c r="D42" s="164"/>
    </row>
    <row r="43" spans="1:12" ht="40.5" customHeight="1" x14ac:dyDescent="0.2">
      <c r="A43" s="191"/>
      <c r="B43" s="164"/>
      <c r="C43" s="230" t="s">
        <v>782</v>
      </c>
      <c r="D43" s="164"/>
    </row>
    <row r="44" spans="1:12" ht="93.75" customHeight="1" x14ac:dyDescent="0.2">
      <c r="A44" s="191"/>
      <c r="B44" s="164"/>
      <c r="C44" s="241" t="s">
        <v>783</v>
      </c>
      <c r="D44" s="164"/>
    </row>
    <row r="45" spans="1:12" ht="66.75" customHeight="1" x14ac:dyDescent="0.2">
      <c r="A45" s="191"/>
      <c r="B45" s="164"/>
      <c r="C45" s="262" t="s">
        <v>859</v>
      </c>
      <c r="D45" s="164"/>
      <c r="F45" s="400">
        <f>34270*71</f>
        <v>2433170</v>
      </c>
    </row>
    <row r="46" spans="1:12" ht="50.25" customHeight="1" x14ac:dyDescent="0.2">
      <c r="A46" s="191"/>
      <c r="B46" s="164"/>
      <c r="C46" s="242" t="s">
        <v>784</v>
      </c>
      <c r="D46" s="164"/>
    </row>
    <row r="47" spans="1:12" ht="78.75" customHeight="1" x14ac:dyDescent="0.2">
      <c r="A47" s="191"/>
      <c r="B47" s="164"/>
      <c r="C47" s="242" t="s">
        <v>785</v>
      </c>
      <c r="D47" s="164"/>
    </row>
    <row r="48" spans="1:12" ht="55.5" customHeight="1" x14ac:dyDescent="0.2">
      <c r="A48" s="191"/>
      <c r="B48" s="164"/>
      <c r="C48" s="242" t="s">
        <v>786</v>
      </c>
      <c r="D48" s="164"/>
    </row>
    <row r="49" spans="1:4" x14ac:dyDescent="0.2">
      <c r="A49" s="191"/>
      <c r="B49" s="164"/>
      <c r="C49" s="192" t="s">
        <v>0</v>
      </c>
      <c r="D49" s="164"/>
    </row>
  </sheetData>
  <sheetProtection formatCells="0" formatColumns="0" formatRows="0" insertColumns="0" insertRows="0" insertHyperlinks="0" deleteColumns="0" deleteRows="0" sort="0" autoFilter="0" pivotTables="0"/>
  <printOptions horizontalCentered="1"/>
  <pageMargins left="0.39370078740157483" right="0.39370078740157483" top="0.74803149606299213" bottom="0.7480314960629921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8"/>
  <sheetViews>
    <sheetView tabSelected="1" topLeftCell="A27" workbookViewId="0">
      <selection activeCell="K33" sqref="K33"/>
    </sheetView>
  </sheetViews>
  <sheetFormatPr baseColWidth="10" defaultRowHeight="15" x14ac:dyDescent="0.2"/>
  <cols>
    <col min="1" max="2" width="11.42578125" style="45"/>
    <col min="3" max="3" width="13.28515625" style="45" customWidth="1"/>
    <col min="4" max="4" width="11.42578125" style="45"/>
    <col min="5" max="5" width="13.5703125" style="45" customWidth="1"/>
    <col min="6" max="6" width="11.42578125" style="45"/>
    <col min="7" max="7" width="14.42578125" style="45" customWidth="1"/>
    <col min="8" max="8" width="14" style="45" customWidth="1"/>
    <col min="9" max="9" width="14.42578125" style="45" customWidth="1"/>
    <col min="10" max="10" width="12" style="45" customWidth="1"/>
    <col min="11" max="13" width="11.42578125" style="45"/>
    <col min="14" max="14" width="16" style="45" bestFit="1" customWidth="1"/>
    <col min="15" max="16384" width="11.42578125" style="45"/>
  </cols>
  <sheetData>
    <row r="2" spans="2:15" ht="15.75" x14ac:dyDescent="0.25">
      <c r="B2" s="546" t="s">
        <v>654</v>
      </c>
      <c r="C2" s="546"/>
      <c r="D2" s="546"/>
      <c r="E2" s="546"/>
      <c r="F2" s="546"/>
      <c r="G2" s="546"/>
      <c r="H2" s="546"/>
      <c r="I2" s="546"/>
      <c r="O2" s="45" t="s">
        <v>0</v>
      </c>
    </row>
    <row r="4" spans="2:15" ht="100.5" customHeight="1" x14ac:dyDescent="0.2">
      <c r="B4" s="542" t="s">
        <v>790</v>
      </c>
      <c r="C4" s="542"/>
      <c r="D4" s="542"/>
      <c r="E4" s="542"/>
      <c r="F4" s="542"/>
      <c r="G4" s="542"/>
      <c r="H4" s="542"/>
      <c r="I4" s="542"/>
      <c r="N4" s="233"/>
    </row>
    <row r="5" spans="2:15" ht="38.25" customHeight="1" x14ac:dyDescent="0.2">
      <c r="B5" s="545" t="s">
        <v>787</v>
      </c>
      <c r="C5" s="545"/>
      <c r="D5" s="545"/>
      <c r="E5" s="545"/>
      <c r="F5" s="545"/>
      <c r="G5" s="545"/>
      <c r="H5" s="545"/>
      <c r="I5" s="545"/>
      <c r="J5" s="689">
        <v>2270</v>
      </c>
      <c r="N5" s="233"/>
    </row>
    <row r="6" spans="2:15" x14ac:dyDescent="0.2">
      <c r="J6" s="689"/>
    </row>
    <row r="7" spans="2:15" ht="33" customHeight="1" x14ac:dyDescent="0.2">
      <c r="B7" s="608" t="s">
        <v>788</v>
      </c>
      <c r="C7" s="608"/>
      <c r="D7" s="608"/>
      <c r="E7" s="608"/>
      <c r="F7" s="608"/>
      <c r="G7" s="608"/>
      <c r="H7" s="608"/>
      <c r="I7" s="608"/>
      <c r="J7" s="689"/>
    </row>
    <row r="9" spans="2:15" ht="39" customHeight="1" x14ac:dyDescent="0.2">
      <c r="B9" s="545" t="s">
        <v>789</v>
      </c>
      <c r="C9" s="545"/>
      <c r="D9" s="545"/>
      <c r="E9" s="545"/>
      <c r="F9" s="545"/>
      <c r="G9" s="545"/>
      <c r="H9" s="545"/>
      <c r="I9" s="545"/>
      <c r="J9" s="690">
        <v>2783</v>
      </c>
    </row>
    <row r="10" spans="2:15" x14ac:dyDescent="0.2">
      <c r="J10" s="690"/>
    </row>
    <row r="11" spans="2:15" ht="30" customHeight="1" x14ac:dyDescent="0.2">
      <c r="B11" s="692" t="s">
        <v>791</v>
      </c>
      <c r="C11" s="692"/>
      <c r="D11" s="692"/>
      <c r="E11" s="692"/>
      <c r="F11" s="692"/>
      <c r="G11" s="692"/>
      <c r="H11" s="692"/>
      <c r="I11" s="692"/>
      <c r="J11" s="690"/>
    </row>
    <row r="13" spans="2:15" ht="25.5" customHeight="1" x14ac:dyDescent="0.2">
      <c r="B13" s="542" t="s">
        <v>792</v>
      </c>
      <c r="C13" s="542"/>
      <c r="D13" s="542"/>
      <c r="E13" s="542"/>
      <c r="F13" s="542"/>
      <c r="G13" s="542"/>
      <c r="H13" s="542"/>
      <c r="I13" s="542"/>
    </row>
    <row r="14" spans="2:15" ht="30" customHeight="1" x14ac:dyDescent="0.2">
      <c r="B14" s="542" t="s">
        <v>793</v>
      </c>
      <c r="C14" s="542"/>
      <c r="D14" s="542"/>
      <c r="E14" s="542"/>
      <c r="F14" s="542"/>
      <c r="G14" s="542"/>
      <c r="H14" s="542"/>
      <c r="I14" s="542"/>
    </row>
    <row r="17" spans="2:9" ht="27" customHeight="1" x14ac:dyDescent="0.2">
      <c r="B17" s="533" t="s">
        <v>794</v>
      </c>
      <c r="C17" s="533"/>
      <c r="D17" s="533"/>
      <c r="E17" s="533"/>
      <c r="F17" s="533"/>
      <c r="G17" s="533"/>
      <c r="H17" s="533"/>
      <c r="I17" s="533"/>
    </row>
    <row r="19" spans="2:9" ht="71.25" customHeight="1" x14ac:dyDescent="0.2">
      <c r="B19" s="542" t="s">
        <v>815</v>
      </c>
      <c r="C19" s="542"/>
      <c r="D19" s="542"/>
      <c r="E19" s="542"/>
      <c r="F19" s="542"/>
      <c r="G19" s="542"/>
      <c r="H19" s="542"/>
      <c r="I19" s="542"/>
    </row>
    <row r="21" spans="2:9" ht="63.75" customHeight="1" x14ac:dyDescent="0.2">
      <c r="B21" s="542" t="s">
        <v>816</v>
      </c>
      <c r="C21" s="542"/>
      <c r="D21" s="542"/>
      <c r="E21" s="542"/>
      <c r="F21" s="542"/>
      <c r="G21" s="542"/>
      <c r="H21" s="542"/>
      <c r="I21" s="542"/>
    </row>
    <row r="23" spans="2:9" ht="133.5" customHeight="1" x14ac:dyDescent="0.2">
      <c r="B23" s="542" t="s">
        <v>817</v>
      </c>
      <c r="C23" s="542"/>
      <c r="D23" s="542"/>
      <c r="E23" s="542"/>
      <c r="F23" s="542"/>
      <c r="G23" s="542"/>
      <c r="H23" s="542"/>
      <c r="I23" s="542"/>
    </row>
    <row r="25" spans="2:9" ht="30" customHeight="1" x14ac:dyDescent="0.2">
      <c r="B25" s="542" t="s">
        <v>795</v>
      </c>
      <c r="C25" s="542"/>
      <c r="D25" s="542"/>
      <c r="E25" s="542"/>
      <c r="F25" s="542"/>
      <c r="G25" s="542"/>
      <c r="H25" s="542"/>
      <c r="I25" s="542"/>
    </row>
    <row r="28" spans="2:9" ht="15.75" x14ac:dyDescent="0.25">
      <c r="B28" s="691" t="s">
        <v>1106</v>
      </c>
      <c r="C28" s="691"/>
      <c r="D28" s="691"/>
      <c r="E28" s="691"/>
      <c r="F28" s="691"/>
      <c r="G28" s="691"/>
      <c r="H28" s="691"/>
      <c r="I28" s="691"/>
    </row>
    <row r="29" spans="2:9" ht="15.75" x14ac:dyDescent="0.25">
      <c r="B29" s="319" t="s">
        <v>542</v>
      </c>
      <c r="C29" s="512">
        <v>44656</v>
      </c>
      <c r="D29" s="319" t="s">
        <v>547</v>
      </c>
      <c r="E29" s="512">
        <v>44669</v>
      </c>
      <c r="F29" s="319" t="s">
        <v>532</v>
      </c>
      <c r="G29" s="512">
        <v>44676</v>
      </c>
      <c r="H29" s="319" t="s">
        <v>537</v>
      </c>
      <c r="I29" s="512">
        <v>44683</v>
      </c>
    </row>
    <row r="30" spans="2:9" ht="15.75" x14ac:dyDescent="0.25">
      <c r="B30" s="319" t="s">
        <v>543</v>
      </c>
      <c r="C30" s="512">
        <v>44657</v>
      </c>
      <c r="D30" s="319" t="s">
        <v>548</v>
      </c>
      <c r="E30" s="512">
        <v>44670</v>
      </c>
      <c r="F30" s="319" t="s">
        <v>533</v>
      </c>
      <c r="G30" s="512">
        <v>44677</v>
      </c>
      <c r="H30" s="319" t="s">
        <v>538</v>
      </c>
      <c r="I30" s="512">
        <v>44684</v>
      </c>
    </row>
    <row r="31" spans="2:9" ht="15.75" x14ac:dyDescent="0.25">
      <c r="B31" s="319" t="s">
        <v>544</v>
      </c>
      <c r="C31" s="512">
        <v>44658</v>
      </c>
      <c r="D31" s="319" t="s">
        <v>549</v>
      </c>
      <c r="E31" s="512">
        <v>44671</v>
      </c>
      <c r="F31" s="319" t="s">
        <v>534</v>
      </c>
      <c r="G31" s="512">
        <v>44678</v>
      </c>
      <c r="H31" s="319" t="s">
        <v>539</v>
      </c>
      <c r="I31" s="512">
        <v>44685</v>
      </c>
    </row>
    <row r="32" spans="2:9" ht="15.75" x14ac:dyDescent="0.25">
      <c r="B32" s="319" t="s">
        <v>545</v>
      </c>
      <c r="C32" s="512">
        <v>44659</v>
      </c>
      <c r="D32" s="319" t="s">
        <v>550</v>
      </c>
      <c r="E32" s="512">
        <v>44672</v>
      </c>
      <c r="F32" s="319" t="s">
        <v>535</v>
      </c>
      <c r="G32" s="512">
        <v>44679</v>
      </c>
      <c r="H32" s="319" t="s">
        <v>540</v>
      </c>
      <c r="I32" s="512">
        <v>44686</v>
      </c>
    </row>
    <row r="33" spans="2:9" ht="15.75" x14ac:dyDescent="0.25">
      <c r="B33" s="319" t="s">
        <v>546</v>
      </c>
      <c r="C33" s="512">
        <v>44669</v>
      </c>
      <c r="D33" s="319" t="s">
        <v>551</v>
      </c>
      <c r="E33" s="512">
        <v>44673</v>
      </c>
      <c r="F33" s="319" t="s">
        <v>536</v>
      </c>
      <c r="G33" s="512">
        <v>44680</v>
      </c>
      <c r="H33" s="319" t="s">
        <v>655</v>
      </c>
      <c r="I33" s="512">
        <v>44687</v>
      </c>
    </row>
    <row r="34" spans="2:9" x14ac:dyDescent="0.2">
      <c r="B34" s="320"/>
      <c r="C34" s="320"/>
      <c r="D34" s="320"/>
      <c r="E34" s="320"/>
      <c r="F34" s="320"/>
      <c r="G34" s="320"/>
      <c r="H34" s="320"/>
      <c r="I34" s="321"/>
    </row>
    <row r="35" spans="2:9" ht="15.75" x14ac:dyDescent="0.25">
      <c r="B35" s="691" t="s">
        <v>656</v>
      </c>
      <c r="C35" s="691"/>
      <c r="D35" s="691"/>
      <c r="E35" s="691"/>
      <c r="F35" s="691"/>
      <c r="G35" s="691"/>
      <c r="H35" s="691"/>
      <c r="I35" s="691"/>
    </row>
    <row r="37" spans="2:9" ht="30" customHeight="1" x14ac:dyDescent="0.2">
      <c r="B37" s="673" t="s">
        <v>796</v>
      </c>
      <c r="C37" s="673"/>
      <c r="D37" s="673"/>
      <c r="E37" s="673"/>
      <c r="F37" s="673"/>
      <c r="G37" s="673"/>
      <c r="H37" s="673"/>
      <c r="I37" s="673"/>
    </row>
    <row r="38" spans="2:9" ht="15.75" x14ac:dyDescent="0.2">
      <c r="B38" s="252"/>
      <c r="C38" s="252"/>
      <c r="D38" s="252"/>
      <c r="E38" s="252"/>
      <c r="F38" s="252"/>
      <c r="G38" s="252"/>
      <c r="H38" s="252"/>
      <c r="I38" s="252"/>
    </row>
    <row r="39" spans="2:9" ht="51" customHeight="1" x14ac:dyDescent="0.2">
      <c r="B39" s="542" t="s">
        <v>797</v>
      </c>
      <c r="C39" s="542"/>
      <c r="D39" s="542"/>
      <c r="E39" s="542"/>
      <c r="F39" s="542"/>
      <c r="G39" s="542"/>
      <c r="H39" s="542"/>
      <c r="I39" s="542"/>
    </row>
    <row r="40" spans="2:9" ht="15.75" x14ac:dyDescent="0.2">
      <c r="B40" s="252"/>
      <c r="C40" s="252"/>
      <c r="D40" s="252"/>
      <c r="E40" s="252"/>
      <c r="F40" s="252"/>
      <c r="G40" s="252"/>
      <c r="H40" s="252"/>
      <c r="I40" s="252"/>
    </row>
    <row r="41" spans="2:9" ht="30" customHeight="1" x14ac:dyDescent="0.2">
      <c r="B41" s="542" t="s">
        <v>798</v>
      </c>
      <c r="C41" s="542"/>
      <c r="D41" s="542"/>
      <c r="E41" s="542"/>
      <c r="F41" s="542"/>
      <c r="G41" s="542"/>
      <c r="H41" s="542"/>
      <c r="I41" s="542"/>
    </row>
    <row r="42" spans="2:9" ht="15.75" x14ac:dyDescent="0.2">
      <c r="B42" s="252"/>
      <c r="C42" s="252"/>
      <c r="D42" s="252"/>
      <c r="E42" s="252"/>
      <c r="F42" s="252"/>
      <c r="G42" s="252"/>
      <c r="H42" s="252"/>
      <c r="I42" s="252"/>
    </row>
    <row r="43" spans="2:9" ht="36" customHeight="1" x14ac:dyDescent="0.2">
      <c r="B43" s="542" t="s">
        <v>799</v>
      </c>
      <c r="C43" s="542"/>
      <c r="D43" s="542"/>
      <c r="E43" s="542"/>
      <c r="F43" s="542"/>
      <c r="G43" s="542"/>
      <c r="H43" s="542"/>
      <c r="I43" s="542"/>
    </row>
    <row r="44" spans="2:9" ht="15.75" x14ac:dyDescent="0.2">
      <c r="B44" s="252"/>
      <c r="C44" s="252"/>
      <c r="D44" s="252"/>
      <c r="E44" s="252"/>
      <c r="F44" s="252"/>
      <c r="G44" s="252"/>
      <c r="H44" s="252"/>
      <c r="I44" s="252"/>
    </row>
    <row r="45" spans="2:9" ht="50.25" customHeight="1" x14ac:dyDescent="0.2">
      <c r="B45" s="542" t="s">
        <v>800</v>
      </c>
      <c r="C45" s="542"/>
      <c r="D45" s="542"/>
      <c r="E45" s="542"/>
      <c r="F45" s="542"/>
      <c r="G45" s="542"/>
      <c r="H45" s="542"/>
      <c r="I45" s="542"/>
    </row>
    <row r="46" spans="2:9" ht="15.75" x14ac:dyDescent="0.2">
      <c r="B46" s="252"/>
      <c r="C46" s="252"/>
      <c r="D46" s="252"/>
      <c r="E46" s="252"/>
      <c r="F46" s="252"/>
      <c r="G46" s="252"/>
      <c r="H46" s="252"/>
      <c r="I46" s="252"/>
    </row>
    <row r="47" spans="2:9" ht="30" customHeight="1" x14ac:dyDescent="0.2">
      <c r="B47" s="687" t="s">
        <v>1107</v>
      </c>
      <c r="C47" s="687"/>
      <c r="D47" s="687"/>
      <c r="E47" s="687"/>
      <c r="F47" s="687"/>
      <c r="G47" s="687"/>
      <c r="H47" s="687"/>
      <c r="I47" s="687"/>
    </row>
    <row r="48" spans="2:9" ht="15.75" x14ac:dyDescent="0.2">
      <c r="C48" s="252"/>
      <c r="D48" s="252"/>
      <c r="E48" s="252"/>
      <c r="F48" s="252"/>
      <c r="G48" s="252"/>
      <c r="H48" s="252"/>
      <c r="I48" s="252"/>
    </row>
    <row r="49" spans="2:9" ht="15.75" x14ac:dyDescent="0.2">
      <c r="C49" s="252"/>
      <c r="D49" s="252"/>
      <c r="E49" s="252"/>
      <c r="F49" s="252"/>
      <c r="G49" s="252"/>
      <c r="H49" s="252"/>
      <c r="I49" s="252"/>
    </row>
    <row r="50" spans="2:9" ht="15.75" x14ac:dyDescent="0.25">
      <c r="B50" s="688" t="s">
        <v>657</v>
      </c>
      <c r="C50" s="688"/>
      <c r="D50" s="688"/>
      <c r="E50" s="688"/>
      <c r="F50" s="688"/>
      <c r="G50" s="688"/>
      <c r="H50" s="688"/>
      <c r="I50" s="688"/>
    </row>
    <row r="52" spans="2:9" ht="60" customHeight="1" x14ac:dyDescent="0.2">
      <c r="B52" s="528" t="s">
        <v>829</v>
      </c>
      <c r="C52" s="528"/>
      <c r="D52" s="528"/>
      <c r="E52" s="528"/>
      <c r="F52" s="528"/>
      <c r="G52" s="528"/>
      <c r="H52" s="528"/>
      <c r="I52" s="528"/>
    </row>
    <row r="54" spans="2:9" ht="30" customHeight="1" x14ac:dyDescent="0.2">
      <c r="B54" s="528" t="s">
        <v>658</v>
      </c>
      <c r="C54" s="528"/>
      <c r="D54" s="528"/>
      <c r="E54" s="528"/>
      <c r="F54" s="528"/>
      <c r="G54" s="528"/>
      <c r="H54" s="528"/>
      <c r="I54" s="528"/>
    </row>
    <row r="56" spans="2:9" x14ac:dyDescent="0.2">
      <c r="B56" s="574" t="s">
        <v>659</v>
      </c>
      <c r="C56" s="574"/>
      <c r="D56" s="574"/>
      <c r="E56" s="574"/>
      <c r="F56" s="574"/>
      <c r="G56" s="574"/>
      <c r="H56" s="574"/>
      <c r="I56" s="574"/>
    </row>
    <row r="58" spans="2:9" ht="66.75" customHeight="1" x14ac:dyDescent="0.2">
      <c r="B58" s="542" t="s">
        <v>660</v>
      </c>
      <c r="C58" s="542"/>
      <c r="D58" s="542"/>
      <c r="E58" s="542"/>
      <c r="F58" s="542"/>
      <c r="G58" s="542"/>
      <c r="H58" s="542"/>
      <c r="I58" s="542"/>
    </row>
  </sheetData>
  <mergeCells count="28">
    <mergeCell ref="J5:J7"/>
    <mergeCell ref="J9:J11"/>
    <mergeCell ref="B35:I35"/>
    <mergeCell ref="B2:I2"/>
    <mergeCell ref="B4:I4"/>
    <mergeCell ref="B28:I28"/>
    <mergeCell ref="B5:I5"/>
    <mergeCell ref="B7:I7"/>
    <mergeCell ref="B19:I19"/>
    <mergeCell ref="B21:I21"/>
    <mergeCell ref="B23:I23"/>
    <mergeCell ref="B25:I25"/>
    <mergeCell ref="B9:I9"/>
    <mergeCell ref="B11:I11"/>
    <mergeCell ref="B13:I13"/>
    <mergeCell ref="B14:I14"/>
    <mergeCell ref="B17:I17"/>
    <mergeCell ref="B50:I50"/>
    <mergeCell ref="B52:I52"/>
    <mergeCell ref="B54:I54"/>
    <mergeCell ref="B56:I56"/>
    <mergeCell ref="B58:I58"/>
    <mergeCell ref="B47:I47"/>
    <mergeCell ref="B37:I37"/>
    <mergeCell ref="B39:I39"/>
    <mergeCell ref="B41:I41"/>
    <mergeCell ref="B43:I43"/>
    <mergeCell ref="B45:I45"/>
  </mergeCells>
  <pageMargins left="0.7" right="0.7" top="0.75" bottom="0.75" header="0.3" footer="0.3"/>
  <pageSetup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workbookViewId="0">
      <selection activeCell="E3" sqref="E3"/>
    </sheetView>
  </sheetViews>
  <sheetFormatPr baseColWidth="10" defaultRowHeight="15" x14ac:dyDescent="0.2"/>
  <cols>
    <col min="1" max="1" width="90.7109375" style="45" customWidth="1"/>
    <col min="2" max="4" width="11.42578125" style="45"/>
    <col min="5" max="5" width="14.85546875" style="45" customWidth="1"/>
    <col min="6" max="6" width="11.42578125" style="45"/>
    <col min="7" max="7" width="12.5703125" style="45" bestFit="1" customWidth="1"/>
    <col min="8" max="16384" width="11.42578125" style="45"/>
  </cols>
  <sheetData>
    <row r="2" spans="1:9" ht="15.75" x14ac:dyDescent="0.25">
      <c r="A2" s="251" t="s">
        <v>818</v>
      </c>
      <c r="B2" s="233"/>
      <c r="C2" s="233"/>
      <c r="D2" s="233"/>
      <c r="E2" s="233"/>
      <c r="F2" s="233"/>
      <c r="G2" s="233"/>
      <c r="H2" s="233"/>
      <c r="I2" s="233"/>
    </row>
    <row r="3" spans="1:9" x14ac:dyDescent="0.2">
      <c r="B3" s="233"/>
      <c r="C3" s="233"/>
      <c r="D3" s="233"/>
      <c r="E3" s="233"/>
      <c r="F3" s="233"/>
      <c r="G3" s="233"/>
      <c r="H3" s="233"/>
      <c r="I3" s="233"/>
    </row>
    <row r="4" spans="1:9" ht="55.5" customHeight="1" x14ac:dyDescent="0.2">
      <c r="A4" s="253" t="s">
        <v>802</v>
      </c>
      <c r="B4" s="233"/>
      <c r="C4" s="233"/>
      <c r="D4" s="233"/>
      <c r="E4" s="233"/>
      <c r="F4" s="233"/>
      <c r="G4" s="233"/>
      <c r="H4" s="233"/>
      <c r="I4" s="233"/>
    </row>
    <row r="5" spans="1:9" ht="30" x14ac:dyDescent="0.2">
      <c r="A5" s="202" t="s">
        <v>803</v>
      </c>
      <c r="B5" s="233"/>
      <c r="C5" s="233"/>
      <c r="D5" s="233"/>
      <c r="E5" s="233"/>
      <c r="F5" s="233"/>
      <c r="G5" s="233"/>
      <c r="H5" s="233"/>
      <c r="I5" s="233"/>
    </row>
    <row r="6" spans="1:9" x14ac:dyDescent="0.2">
      <c r="B6" s="233"/>
      <c r="C6" s="233"/>
      <c r="D6" s="233"/>
      <c r="E6" s="233"/>
      <c r="F6" s="233"/>
      <c r="G6" s="233"/>
      <c r="H6" s="233"/>
      <c r="I6" s="233"/>
    </row>
    <row r="7" spans="1:9" ht="30" x14ac:dyDescent="0.2">
      <c r="A7" s="202" t="s">
        <v>804</v>
      </c>
      <c r="B7" s="233"/>
      <c r="C7" s="233"/>
      <c r="D7" s="233"/>
      <c r="E7" s="233"/>
      <c r="F7" s="233"/>
      <c r="G7" s="233"/>
      <c r="H7" s="233"/>
      <c r="I7" s="233"/>
    </row>
    <row r="8" spans="1:9" ht="60" x14ac:dyDescent="0.2">
      <c r="A8" s="202" t="s">
        <v>805</v>
      </c>
      <c r="B8" s="233"/>
      <c r="C8" s="233"/>
      <c r="D8" s="233"/>
      <c r="E8" s="233"/>
      <c r="F8" s="233"/>
      <c r="G8" s="233"/>
      <c r="H8" s="233"/>
      <c r="I8" s="233"/>
    </row>
    <row r="9" spans="1:9" ht="46.5" x14ac:dyDescent="0.25">
      <c r="A9" s="202" t="s">
        <v>819</v>
      </c>
      <c r="B9" s="233"/>
      <c r="C9" s="233"/>
      <c r="D9" s="233"/>
      <c r="E9" s="233"/>
      <c r="F9" s="233"/>
      <c r="G9" s="233"/>
      <c r="H9" s="233"/>
      <c r="I9" s="233"/>
    </row>
    <row r="10" spans="1:9" ht="75" x14ac:dyDescent="0.2">
      <c r="A10" s="202" t="s">
        <v>806</v>
      </c>
      <c r="B10" s="233"/>
      <c r="C10" s="233"/>
      <c r="D10" s="233"/>
      <c r="E10" s="233"/>
      <c r="F10" s="233"/>
      <c r="G10" s="233"/>
      <c r="H10" s="233"/>
      <c r="I10" s="233"/>
    </row>
    <row r="11" spans="1:9" x14ac:dyDescent="0.2">
      <c r="B11" s="233"/>
      <c r="C11" s="233"/>
      <c r="D11" s="233"/>
      <c r="E11" s="233"/>
      <c r="F11" s="233"/>
      <c r="G11" s="233"/>
      <c r="H11" s="233"/>
      <c r="I11" s="233"/>
    </row>
    <row r="12" spans="1:9" ht="61.5" x14ac:dyDescent="0.2">
      <c r="A12" s="202" t="s">
        <v>820</v>
      </c>
      <c r="B12" s="233"/>
      <c r="C12" s="233"/>
      <c r="D12" s="233"/>
      <c r="E12" s="233"/>
      <c r="F12" s="233"/>
      <c r="G12" s="233"/>
      <c r="H12" s="233"/>
      <c r="I12" s="233"/>
    </row>
    <row r="13" spans="1:9" ht="60" x14ac:dyDescent="0.2">
      <c r="A13" s="202" t="s">
        <v>807</v>
      </c>
      <c r="B13" s="233"/>
      <c r="C13" s="233"/>
      <c r="D13" s="233"/>
      <c r="E13" s="233"/>
      <c r="F13" s="233"/>
      <c r="G13" s="233"/>
      <c r="H13" s="233"/>
      <c r="I13" s="233"/>
    </row>
    <row r="14" spans="1:9" ht="62.25" x14ac:dyDescent="0.25">
      <c r="A14" s="202" t="s">
        <v>821</v>
      </c>
      <c r="B14" s="233"/>
      <c r="C14" s="233"/>
      <c r="D14" s="233"/>
      <c r="E14" s="233"/>
      <c r="F14" s="233"/>
      <c r="G14" s="233"/>
      <c r="H14" s="233"/>
      <c r="I14" s="233"/>
    </row>
    <row r="15" spans="1:9" ht="77.25" x14ac:dyDescent="0.25">
      <c r="A15" s="202" t="s">
        <v>822</v>
      </c>
      <c r="B15" s="233"/>
      <c r="C15" s="233"/>
      <c r="D15" s="233"/>
      <c r="E15" s="233"/>
      <c r="F15" s="233"/>
      <c r="G15" s="233"/>
      <c r="H15" s="233"/>
      <c r="I15" s="233"/>
    </row>
    <row r="18" spans="1:1" ht="63" x14ac:dyDescent="0.25">
      <c r="A18" s="208" t="s">
        <v>823</v>
      </c>
    </row>
    <row r="19" spans="1:1" ht="122.25" x14ac:dyDescent="0.25">
      <c r="A19" s="202" t="s">
        <v>851</v>
      </c>
    </row>
    <row r="20" spans="1:1" ht="109.5" x14ac:dyDescent="0.25">
      <c r="A20" s="202" t="s">
        <v>836</v>
      </c>
    </row>
    <row r="21" spans="1:1" ht="60.75" x14ac:dyDescent="0.2">
      <c r="A21" s="202" t="s">
        <v>824</v>
      </c>
    </row>
    <row r="22" spans="1:1" ht="50.25" customHeight="1" x14ac:dyDescent="0.2">
      <c r="A22" s="264" t="s">
        <v>808</v>
      </c>
    </row>
    <row r="25" spans="1:1" ht="31.5" x14ac:dyDescent="0.25">
      <c r="A25" s="243" t="s">
        <v>809</v>
      </c>
    </row>
    <row r="27" spans="1:1" ht="150.75" x14ac:dyDescent="0.2">
      <c r="A27" s="202" t="s">
        <v>825</v>
      </c>
    </row>
    <row r="28" spans="1:1" ht="47.25" x14ac:dyDescent="0.25">
      <c r="A28" s="265" t="s">
        <v>826</v>
      </c>
    </row>
    <row r="29" spans="1:1" ht="45.75" x14ac:dyDescent="0.2">
      <c r="A29" s="202" t="s">
        <v>827</v>
      </c>
    </row>
    <row r="32" spans="1:1" ht="31.5" x14ac:dyDescent="0.25">
      <c r="A32" s="266" t="s">
        <v>828</v>
      </c>
    </row>
    <row r="33" spans="1:1" x14ac:dyDescent="0.2">
      <c r="A33" s="45" t="s">
        <v>810</v>
      </c>
    </row>
    <row r="34" spans="1:1" x14ac:dyDescent="0.2">
      <c r="A34" s="45" t="s">
        <v>811</v>
      </c>
    </row>
    <row r="35" spans="1:1" x14ac:dyDescent="0.2">
      <c r="A35" s="45" t="s">
        <v>812</v>
      </c>
    </row>
  </sheetData>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8" sqref="M18"/>
    </sheetView>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6" sqref="N1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0" zoomScale="120" zoomScaleNormal="120" workbookViewId="0">
      <selection activeCell="A15" sqref="A15"/>
    </sheetView>
  </sheetViews>
  <sheetFormatPr baseColWidth="10" defaultRowHeight="14.25" x14ac:dyDescent="0.2"/>
  <cols>
    <col min="1" max="1" width="87.5703125" style="70" customWidth="1"/>
    <col min="2" max="16384" width="11.42578125" style="70"/>
  </cols>
  <sheetData>
    <row r="1" spans="1:3" x14ac:dyDescent="0.2">
      <c r="A1" s="70" t="s">
        <v>0</v>
      </c>
    </row>
    <row r="2" spans="1:3" ht="15" x14ac:dyDescent="0.25">
      <c r="A2" s="98" t="s">
        <v>431</v>
      </c>
    </row>
    <row r="3" spans="1:3" ht="15" x14ac:dyDescent="0.25">
      <c r="A3" s="98" t="s">
        <v>430</v>
      </c>
    </row>
    <row r="4" spans="1:3" ht="15" x14ac:dyDescent="0.25">
      <c r="A4" s="98" t="s">
        <v>0</v>
      </c>
    </row>
    <row r="5" spans="1:3" ht="27.75" customHeight="1" x14ac:dyDescent="0.2">
      <c r="A5" s="244" t="s">
        <v>830</v>
      </c>
    </row>
    <row r="7" spans="1:3" ht="42.75" x14ac:dyDescent="0.2">
      <c r="A7" s="101" t="s">
        <v>427</v>
      </c>
    </row>
    <row r="8" spans="1:3" x14ac:dyDescent="0.2">
      <c r="A8" s="102"/>
      <c r="C8" s="338">
        <v>34270</v>
      </c>
    </row>
    <row r="9" spans="1:3" ht="15" x14ac:dyDescent="0.25">
      <c r="A9" s="98" t="s">
        <v>381</v>
      </c>
      <c r="C9" s="337">
        <f>C8*3.9/100</f>
        <v>1336.53</v>
      </c>
    </row>
    <row r="10" spans="1:3" ht="15" x14ac:dyDescent="0.25">
      <c r="A10" s="98"/>
      <c r="C10" s="337">
        <f>SUM(C8:C9)</f>
        <v>35606.53</v>
      </c>
    </row>
    <row r="11" spans="1:3" ht="57" x14ac:dyDescent="0.2">
      <c r="A11" s="101" t="s">
        <v>428</v>
      </c>
    </row>
    <row r="13" spans="1:3" ht="63.75" customHeight="1" x14ac:dyDescent="0.2">
      <c r="A13" s="101" t="s">
        <v>429</v>
      </c>
    </row>
    <row r="15" spans="1:3" ht="88.5" x14ac:dyDescent="0.25">
      <c r="A15" s="245" t="s">
        <v>433</v>
      </c>
    </row>
    <row r="17" spans="1:3" ht="156.75" x14ac:dyDescent="0.2">
      <c r="A17" s="100" t="s">
        <v>432</v>
      </c>
    </row>
    <row r="19" spans="1:3" ht="57" x14ac:dyDescent="0.2">
      <c r="A19" s="99" t="s">
        <v>503</v>
      </c>
      <c r="C19" s="70">
        <f>35607*1.0197</f>
        <v>36308.457900000001</v>
      </c>
    </row>
    <row r="21" spans="1:3" ht="57" x14ac:dyDescent="0.2">
      <c r="A21" s="101" t="s">
        <v>434</v>
      </c>
    </row>
    <row r="23" spans="1:3" ht="28.5" x14ac:dyDescent="0.2">
      <c r="A23" s="99" t="s">
        <v>435</v>
      </c>
    </row>
    <row r="25" spans="1:3" ht="28.5" x14ac:dyDescent="0.2">
      <c r="A25" s="99" t="s">
        <v>436</v>
      </c>
    </row>
    <row r="27" spans="1:3" x14ac:dyDescent="0.2">
      <c r="A27" s="103" t="s">
        <v>437</v>
      </c>
    </row>
    <row r="29" spans="1:3" ht="45" x14ac:dyDescent="0.2">
      <c r="A29" s="244" t="s">
        <v>443</v>
      </c>
    </row>
    <row r="31" spans="1:3" ht="99.75" x14ac:dyDescent="0.2">
      <c r="A31" s="101" t="s">
        <v>438</v>
      </c>
    </row>
    <row r="33" spans="1:1" ht="28.5" x14ac:dyDescent="0.2">
      <c r="A33" s="99" t="s">
        <v>439</v>
      </c>
    </row>
    <row r="35" spans="1:1" x14ac:dyDescent="0.2">
      <c r="A35" s="70" t="s">
        <v>440</v>
      </c>
    </row>
    <row r="37" spans="1:1" x14ac:dyDescent="0.2">
      <c r="A37" s="70" t="s">
        <v>441</v>
      </c>
    </row>
    <row r="38" spans="1:1" x14ac:dyDescent="0.2">
      <c r="A38" s="70" t="s">
        <v>442</v>
      </c>
    </row>
    <row r="42" spans="1:1" ht="89.25" customHeight="1" x14ac:dyDescent="0.2">
      <c r="A42" s="206" t="s">
        <v>683</v>
      </c>
    </row>
    <row r="43" spans="1:1" ht="90.75" x14ac:dyDescent="0.2">
      <c r="A43" s="207" t="s">
        <v>684</v>
      </c>
    </row>
  </sheetData>
  <hyperlinks>
    <hyperlink ref="A42" r:id="rId1" display="https://actualicese.com/ley-1955-de-25-05-2019-plan-nacional-de-desarrollo-2018-2022/"/>
  </hyperlinks>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3"/>
  <sheetViews>
    <sheetView topLeftCell="A10" workbookViewId="0">
      <selection activeCell="A17" sqref="A17"/>
    </sheetView>
  </sheetViews>
  <sheetFormatPr baseColWidth="10" defaultRowHeight="15" x14ac:dyDescent="0.2"/>
  <cols>
    <col min="1" max="1" width="96" style="45" customWidth="1"/>
    <col min="2" max="3" width="11.42578125" style="45"/>
    <col min="4" max="4" width="11.42578125" style="106"/>
    <col min="5" max="16384" width="11.42578125" style="45"/>
  </cols>
  <sheetData>
    <row r="2" spans="1:4" ht="15.75" x14ac:dyDescent="0.25">
      <c r="D2" s="353"/>
    </row>
    <row r="3" spans="1:4" ht="15.75" x14ac:dyDescent="0.25">
      <c r="A3" s="384" t="s">
        <v>661</v>
      </c>
      <c r="D3" s="401">
        <v>35607</v>
      </c>
    </row>
    <row r="4" spans="1:4" ht="15.75" x14ac:dyDescent="0.25">
      <c r="D4" s="353"/>
    </row>
    <row r="5" spans="1:4" ht="31.5" x14ac:dyDescent="0.25">
      <c r="A5" s="204" t="s">
        <v>662</v>
      </c>
      <c r="D5" s="353">
        <f>D3*1.97/100</f>
        <v>701.45789999999988</v>
      </c>
    </row>
    <row r="6" spans="1:4" ht="15.75" x14ac:dyDescent="0.25">
      <c r="D6" s="353"/>
    </row>
    <row r="7" spans="1:4" ht="31.5" x14ac:dyDescent="0.25">
      <c r="A7" s="203" t="s">
        <v>663</v>
      </c>
      <c r="D7" s="401">
        <f>D3+D5</f>
        <v>36308.457900000001</v>
      </c>
    </row>
    <row r="8" spans="1:4" ht="15.75" x14ac:dyDescent="0.25">
      <c r="D8" s="353"/>
    </row>
    <row r="9" spans="1:4" ht="30" x14ac:dyDescent="0.2">
      <c r="A9" s="201" t="s">
        <v>664</v>
      </c>
    </row>
    <row r="11" spans="1:4" ht="15.75" x14ac:dyDescent="0.25">
      <c r="A11" s="195" t="s">
        <v>665</v>
      </c>
    </row>
    <row r="13" spans="1:4" ht="65.25" customHeight="1" x14ac:dyDescent="0.2">
      <c r="A13" s="196" t="s">
        <v>666</v>
      </c>
    </row>
    <row r="15" spans="1:4" ht="68.25" customHeight="1" x14ac:dyDescent="0.2">
      <c r="A15" s="93" t="s">
        <v>667</v>
      </c>
    </row>
    <row r="17" spans="1:1" ht="61.5" x14ac:dyDescent="0.25">
      <c r="A17" s="208" t="s">
        <v>852</v>
      </c>
    </row>
    <row r="19" spans="1:1" ht="141" customHeight="1" x14ac:dyDescent="0.2">
      <c r="A19" s="93" t="s">
        <v>668</v>
      </c>
    </row>
    <row r="21" spans="1:1" ht="60.75" customHeight="1" x14ac:dyDescent="0.2">
      <c r="A21" s="196" t="s">
        <v>669</v>
      </c>
    </row>
    <row r="23" spans="1:1" ht="34.5" customHeight="1" x14ac:dyDescent="0.2">
      <c r="A23" s="196" t="s">
        <v>670</v>
      </c>
    </row>
    <row r="25" spans="1:1" ht="75" x14ac:dyDescent="0.2">
      <c r="A25" s="196" t="s">
        <v>671</v>
      </c>
    </row>
    <row r="27" spans="1:1" x14ac:dyDescent="0.2">
      <c r="A27" s="45" t="s">
        <v>672</v>
      </c>
    </row>
    <row r="29" spans="1:1" ht="15.75" x14ac:dyDescent="0.25">
      <c r="A29" s="195" t="s">
        <v>54</v>
      </c>
    </row>
    <row r="31" spans="1:1" ht="46.5" x14ac:dyDescent="0.2">
      <c r="A31" s="268" t="s">
        <v>677</v>
      </c>
    </row>
    <row r="33" spans="1:1" ht="123.75" customHeight="1" x14ac:dyDescent="0.2">
      <c r="A33" s="93" t="s">
        <v>678</v>
      </c>
    </row>
    <row r="35" spans="1:1" ht="30.75" x14ac:dyDescent="0.2">
      <c r="A35" s="202" t="s">
        <v>679</v>
      </c>
    </row>
    <row r="37" spans="1:1" ht="15.75" x14ac:dyDescent="0.25">
      <c r="A37" s="202" t="s">
        <v>680</v>
      </c>
    </row>
    <row r="39" spans="1:1" ht="15.75" x14ac:dyDescent="0.25">
      <c r="A39" s="79" t="s">
        <v>673</v>
      </c>
    </row>
    <row r="40" spans="1:1" ht="15.75" x14ac:dyDescent="0.25">
      <c r="A40" s="79" t="s">
        <v>674</v>
      </c>
    </row>
    <row r="42" spans="1:1" ht="15.75" x14ac:dyDescent="0.25">
      <c r="A42" s="195" t="s">
        <v>675</v>
      </c>
    </row>
    <row r="43" spans="1:1" ht="15.75" x14ac:dyDescent="0.2">
      <c r="A43" s="197" t="s">
        <v>676</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5"/>
  <sheetViews>
    <sheetView topLeftCell="A10" workbookViewId="0">
      <selection activeCell="B30" sqref="B30"/>
    </sheetView>
  </sheetViews>
  <sheetFormatPr baseColWidth="10" defaultRowHeight="15" x14ac:dyDescent="0.25"/>
  <cols>
    <col min="2" max="2" width="96.7109375" customWidth="1"/>
  </cols>
  <sheetData>
    <row r="1" spans="2:2" ht="15.75" x14ac:dyDescent="0.25">
      <c r="B1" s="45"/>
    </row>
    <row r="2" spans="2:2" ht="15.75" x14ac:dyDescent="0.25">
      <c r="B2" s="384" t="s">
        <v>864</v>
      </c>
    </row>
    <row r="3" spans="2:2" ht="15.75" x14ac:dyDescent="0.25">
      <c r="B3" s="45"/>
    </row>
    <row r="4" spans="2:2" ht="31.5" x14ac:dyDescent="0.25">
      <c r="B4" s="204" t="s">
        <v>865</v>
      </c>
    </row>
    <row r="5" spans="2:2" ht="15.75" x14ac:dyDescent="0.25">
      <c r="B5" s="45"/>
    </row>
    <row r="6" spans="2:2" ht="31.5" x14ac:dyDescent="0.25">
      <c r="B6" s="420" t="s">
        <v>663</v>
      </c>
    </row>
    <row r="7" spans="2:2" ht="15.75" x14ac:dyDescent="0.25">
      <c r="B7" s="45"/>
    </row>
    <row r="8" spans="2:2" ht="30.75" x14ac:dyDescent="0.25">
      <c r="B8" s="201" t="s">
        <v>664</v>
      </c>
    </row>
    <row r="9" spans="2:2" ht="15.75" x14ac:dyDescent="0.25">
      <c r="B9" s="45"/>
    </row>
    <row r="10" spans="2:2" ht="15.75" x14ac:dyDescent="0.25">
      <c r="B10" s="418" t="s">
        <v>665</v>
      </c>
    </row>
    <row r="11" spans="2:2" ht="15.75" x14ac:dyDescent="0.25">
      <c r="B11" s="45"/>
    </row>
    <row r="12" spans="2:2" ht="60" hidden="1" x14ac:dyDescent="0.25">
      <c r="B12" s="417" t="s">
        <v>666</v>
      </c>
    </row>
    <row r="13" spans="2:2" ht="15.75" x14ac:dyDescent="0.25">
      <c r="B13" s="45"/>
    </row>
    <row r="14" spans="2:2" ht="60" hidden="1" x14ac:dyDescent="0.25">
      <c r="B14" s="93" t="s">
        <v>667</v>
      </c>
    </row>
    <row r="15" spans="2:2" ht="15.75" x14ac:dyDescent="0.25">
      <c r="B15" s="45"/>
    </row>
    <row r="16" spans="2:2" ht="61.5" x14ac:dyDescent="0.25">
      <c r="B16" s="208" t="s">
        <v>866</v>
      </c>
    </row>
    <row r="17" spans="2:2" ht="15.75" x14ac:dyDescent="0.25">
      <c r="B17" s="45"/>
    </row>
    <row r="18" spans="2:2" ht="135" hidden="1" x14ac:dyDescent="0.25">
      <c r="B18" s="93" t="s">
        <v>867</v>
      </c>
    </row>
    <row r="19" spans="2:2" ht="15.75" hidden="1" x14ac:dyDescent="0.25">
      <c r="B19" s="45"/>
    </row>
    <row r="20" spans="2:2" ht="60" hidden="1" x14ac:dyDescent="0.25">
      <c r="B20" s="417" t="s">
        <v>868</v>
      </c>
    </row>
    <row r="21" spans="2:2" ht="15.75" hidden="1" x14ac:dyDescent="0.25">
      <c r="B21" s="45"/>
    </row>
    <row r="22" spans="2:2" ht="30" hidden="1" x14ac:dyDescent="0.25">
      <c r="B22" s="417" t="s">
        <v>869</v>
      </c>
    </row>
    <row r="23" spans="2:2" ht="15.75" hidden="1" x14ac:dyDescent="0.25">
      <c r="B23" s="45"/>
    </row>
    <row r="24" spans="2:2" ht="60" hidden="1" x14ac:dyDescent="0.25">
      <c r="B24" s="417" t="s">
        <v>870</v>
      </c>
    </row>
    <row r="25" spans="2:2" ht="15.75" x14ac:dyDescent="0.25">
      <c r="B25" s="45"/>
    </row>
    <row r="26" spans="2:2" ht="15.75" x14ac:dyDescent="0.25">
      <c r="B26" s="45" t="s">
        <v>672</v>
      </c>
    </row>
    <row r="27" spans="2:2" ht="15.75" x14ac:dyDescent="0.25">
      <c r="B27" s="45"/>
    </row>
    <row r="28" spans="2:2" ht="15.75" x14ac:dyDescent="0.25">
      <c r="B28" s="418" t="s">
        <v>54</v>
      </c>
    </row>
    <row r="29" spans="2:2" ht="15.75" x14ac:dyDescent="0.25">
      <c r="B29" s="45"/>
    </row>
    <row r="30" spans="2:2" ht="46.5" x14ac:dyDescent="0.25">
      <c r="B30" s="268" t="s">
        <v>871</v>
      </c>
    </row>
    <row r="31" spans="2:2" ht="15.75" x14ac:dyDescent="0.25">
      <c r="B31" s="45"/>
    </row>
    <row r="32" spans="2:2" ht="121.5" x14ac:dyDescent="0.25">
      <c r="B32" s="93" t="s">
        <v>678</v>
      </c>
    </row>
    <row r="33" spans="2:2" ht="15.75" x14ac:dyDescent="0.25">
      <c r="B33" s="45"/>
    </row>
    <row r="34" spans="2:2" ht="31.5" x14ac:dyDescent="0.25">
      <c r="B34" s="202" t="s">
        <v>679</v>
      </c>
    </row>
    <row r="35" spans="2:2" ht="15.75" x14ac:dyDescent="0.25">
      <c r="B35" s="45"/>
    </row>
    <row r="36" spans="2:2" ht="15.75" x14ac:dyDescent="0.25">
      <c r="B36" s="202" t="s">
        <v>680</v>
      </c>
    </row>
    <row r="37" spans="2:2" ht="15.75" x14ac:dyDescent="0.25">
      <c r="B37" s="45"/>
    </row>
    <row r="38" spans="2:2" ht="15.75" x14ac:dyDescent="0.25">
      <c r="B38" s="79" t="s">
        <v>673</v>
      </c>
    </row>
    <row r="39" spans="2:2" ht="15.75" x14ac:dyDescent="0.25">
      <c r="B39" s="79" t="s">
        <v>674</v>
      </c>
    </row>
    <row r="40" spans="2:2" ht="15.75" x14ac:dyDescent="0.25">
      <c r="B40" s="45"/>
    </row>
    <row r="41" spans="2:2" ht="15.75" x14ac:dyDescent="0.25">
      <c r="B41" s="418" t="s">
        <v>675</v>
      </c>
    </row>
    <row r="42" spans="2:2" ht="15.75" x14ac:dyDescent="0.25">
      <c r="B42" s="419" t="s">
        <v>676</v>
      </c>
    </row>
    <row r="43" spans="2:2" ht="15.75" x14ac:dyDescent="0.25">
      <c r="B43" s="45"/>
    </row>
    <row r="44" spans="2:2" ht="15.75" x14ac:dyDescent="0.25">
      <c r="B44" s="45"/>
    </row>
    <row r="45" spans="2:2" ht="15.75" x14ac:dyDescent="0.25">
      <c r="B45"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47"/>
  <sheetViews>
    <sheetView workbookViewId="0">
      <pane xSplit="6" ySplit="9" topLeftCell="G10" activePane="bottomRight" state="frozen"/>
      <selection pane="topRight" activeCell="F1" sqref="F1"/>
      <selection pane="bottomLeft" activeCell="A10" sqref="A10"/>
      <selection pane="bottomRight" activeCell="A8" sqref="A8"/>
    </sheetView>
  </sheetViews>
  <sheetFormatPr baseColWidth="10" defaultRowHeight="15" x14ac:dyDescent="0.2"/>
  <cols>
    <col min="1" max="1" width="11.42578125" style="1"/>
    <col min="2" max="2" width="6.42578125" style="1" bestFit="1" customWidth="1"/>
    <col min="3" max="3" width="24.85546875" style="33" customWidth="1"/>
    <col min="4" max="4" width="27.5703125" style="33" customWidth="1"/>
    <col min="5" max="5" width="8.28515625" style="53" bestFit="1" customWidth="1"/>
    <col min="6" max="6" width="11.42578125" style="1"/>
    <col min="7" max="7" width="17.28515625" style="1" customWidth="1"/>
    <col min="8" max="11" width="18.42578125" style="1" customWidth="1"/>
    <col min="12" max="12" width="19" style="1" customWidth="1"/>
    <col min="13" max="14" width="18.42578125" style="1" customWidth="1"/>
    <col min="15" max="15" width="18.42578125" style="1" bestFit="1" customWidth="1"/>
    <col min="16" max="16" width="18.7109375" style="1" bestFit="1" customWidth="1"/>
    <col min="17" max="17" width="20.5703125" style="69" bestFit="1" customWidth="1"/>
    <col min="18" max="23" width="18.42578125" style="1" bestFit="1" customWidth="1"/>
    <col min="24" max="16384" width="11.42578125" style="1"/>
  </cols>
  <sheetData>
    <row r="1" spans="2:23" x14ac:dyDescent="0.2">
      <c r="V1" s="1" t="s">
        <v>0</v>
      </c>
    </row>
    <row r="2" spans="2:23" x14ac:dyDescent="0.2">
      <c r="B2" s="1" t="s">
        <v>0</v>
      </c>
      <c r="Q2" s="324"/>
    </row>
    <row r="3" spans="2:23" ht="15.75" x14ac:dyDescent="0.25">
      <c r="B3" s="517" t="s">
        <v>749</v>
      </c>
      <c r="C3" s="517"/>
      <c r="D3" s="517"/>
      <c r="E3" s="517"/>
      <c r="F3" s="517"/>
      <c r="G3" s="517"/>
      <c r="H3" s="517"/>
      <c r="I3" s="517"/>
      <c r="J3" s="209" t="s">
        <v>0</v>
      </c>
      <c r="K3" s="47"/>
      <c r="L3" s="416">
        <f>1090*L8</f>
        <v>27393880</v>
      </c>
      <c r="M3" s="47"/>
      <c r="N3" s="1" t="s">
        <v>0</v>
      </c>
      <c r="O3" s="1" t="s">
        <v>0</v>
      </c>
      <c r="P3" s="1" t="s">
        <v>0</v>
      </c>
      <c r="Q3" s="324" t="s">
        <v>0</v>
      </c>
      <c r="R3" s="1" t="s">
        <v>0</v>
      </c>
    </row>
    <row r="4" spans="2:23" x14ac:dyDescent="0.2">
      <c r="I4" s="351" t="s">
        <v>0</v>
      </c>
      <c r="Q4" s="324"/>
    </row>
    <row r="6" spans="2:23" ht="47.25" x14ac:dyDescent="0.25">
      <c r="B6" s="2" t="s">
        <v>1</v>
      </c>
      <c r="C6" s="5" t="s">
        <v>2</v>
      </c>
      <c r="D6" s="5"/>
      <c r="E6" s="54" t="s">
        <v>3</v>
      </c>
      <c r="F6" s="4" t="s">
        <v>60</v>
      </c>
      <c r="G6" s="421" t="s">
        <v>4</v>
      </c>
      <c r="H6" s="5" t="s">
        <v>5</v>
      </c>
      <c r="I6" s="5" t="s">
        <v>6</v>
      </c>
      <c r="J6" s="5" t="s">
        <v>59</v>
      </c>
      <c r="K6" s="5" t="s">
        <v>330</v>
      </c>
      <c r="L6" s="5" t="s">
        <v>359</v>
      </c>
      <c r="M6" s="5" t="s">
        <v>363</v>
      </c>
      <c r="N6" s="5" t="s">
        <v>369</v>
      </c>
      <c r="O6" s="5" t="s">
        <v>373</v>
      </c>
      <c r="P6" s="5" t="s">
        <v>376</v>
      </c>
      <c r="Q6" s="5" t="s">
        <v>387</v>
      </c>
      <c r="R6" s="5" t="s">
        <v>390</v>
      </c>
      <c r="S6" s="5" t="s">
        <v>391</v>
      </c>
      <c r="T6" s="5" t="s">
        <v>406</v>
      </c>
      <c r="U6" s="430" t="s">
        <v>444</v>
      </c>
      <c r="V6" s="205" t="s">
        <v>681</v>
      </c>
      <c r="W6" s="434" t="s">
        <v>872</v>
      </c>
    </row>
    <row r="7" spans="2:23" ht="15" customHeight="1" x14ac:dyDescent="0.25">
      <c r="B7" s="2"/>
      <c r="C7" s="5"/>
      <c r="D7" s="38" t="s">
        <v>61</v>
      </c>
      <c r="E7" s="54"/>
      <c r="F7" s="4"/>
      <c r="G7" s="3"/>
      <c r="H7" s="39">
        <f t="shared" ref="H7:W7" si="0">(H8-G8)/G8</f>
        <v>4.87E-2</v>
      </c>
      <c r="I7" s="39">
        <f t="shared" si="0"/>
        <v>5.1492323829503195E-2</v>
      </c>
      <c r="J7" s="39">
        <f t="shared" si="0"/>
        <v>7.7491611499047791E-2</v>
      </c>
      <c r="K7" s="39">
        <f t="shared" si="0"/>
        <v>3.3329125110465853E-2</v>
      </c>
      <c r="L7" s="39">
        <f t="shared" si="0"/>
        <v>2.349826919161067E-2</v>
      </c>
      <c r="M7" s="39">
        <f t="shared" si="0"/>
        <v>3.6487346808849276E-2</v>
      </c>
      <c r="N7" s="39">
        <f t="shared" si="0"/>
        <v>3.0404238166532305E-2</v>
      </c>
      <c r="O7" s="39">
        <f t="shared" si="0"/>
        <v>2.3993144815766924E-2</v>
      </c>
      <c r="P7" s="39">
        <f t="shared" si="0"/>
        <v>2.8888484627978897E-2</v>
      </c>
      <c r="Q7" s="39">
        <f t="shared" si="0"/>
        <v>5.2123483857279253E-2</v>
      </c>
      <c r="R7" s="39">
        <f t="shared" si="0"/>
        <v>7.0782778207239605E-2</v>
      </c>
      <c r="S7" s="39">
        <f t="shared" si="0"/>
        <v>4.0710631218807872E-2</v>
      </c>
      <c r="T7" s="39">
        <f t="shared" si="0"/>
        <v>3.3598745325129693E-2</v>
      </c>
      <c r="U7" s="431">
        <f t="shared" si="0"/>
        <v>3.9013714619200467E-2</v>
      </c>
      <c r="V7" s="39">
        <f t="shared" si="0"/>
        <v>1.968714016906788E-2</v>
      </c>
      <c r="W7" s="433">
        <f t="shared" si="0"/>
        <v>4.6711468546876724E-2</v>
      </c>
    </row>
    <row r="8" spans="2:23" ht="15" customHeight="1" x14ac:dyDescent="0.25">
      <c r="B8" s="2"/>
      <c r="C8" s="5"/>
      <c r="D8" s="38" t="s">
        <v>62</v>
      </c>
      <c r="E8" s="54"/>
      <c r="F8" s="6" t="s">
        <v>0</v>
      </c>
      <c r="G8" s="7">
        <v>20000</v>
      </c>
      <c r="H8" s="7">
        <v>20974</v>
      </c>
      <c r="I8" s="7">
        <v>22054</v>
      </c>
      <c r="J8" s="29">
        <v>23763</v>
      </c>
      <c r="K8" s="29">
        <v>24555</v>
      </c>
      <c r="L8" s="29">
        <v>25132</v>
      </c>
      <c r="M8" s="29">
        <v>26049</v>
      </c>
      <c r="N8" s="414">
        <v>26841</v>
      </c>
      <c r="O8" s="414">
        <v>27485</v>
      </c>
      <c r="P8" s="414">
        <v>28279</v>
      </c>
      <c r="Q8" s="415">
        <v>29753</v>
      </c>
      <c r="R8" s="68">
        <v>31859</v>
      </c>
      <c r="S8" s="68">
        <v>33156</v>
      </c>
      <c r="T8" s="68">
        <v>34270</v>
      </c>
      <c r="U8" s="432">
        <v>35607</v>
      </c>
      <c r="V8" s="68">
        <v>36308</v>
      </c>
      <c r="W8" s="415">
        <v>38004</v>
      </c>
    </row>
    <row r="9" spans="2:23" ht="15" customHeight="1" x14ac:dyDescent="0.25">
      <c r="B9" s="2"/>
      <c r="C9" s="5"/>
      <c r="D9" s="37" t="s">
        <v>0</v>
      </c>
      <c r="E9" s="54"/>
      <c r="F9" s="8"/>
      <c r="G9" s="3"/>
      <c r="H9" s="9"/>
      <c r="I9" s="9"/>
      <c r="J9" s="9"/>
      <c r="K9" s="9"/>
      <c r="L9" s="9"/>
      <c r="M9" s="9"/>
      <c r="N9" s="9"/>
      <c r="O9" s="9"/>
      <c r="R9" s="69"/>
    </row>
    <row r="10" spans="2:23" ht="30" customHeight="1" x14ac:dyDescent="0.2">
      <c r="B10" s="10">
        <v>1</v>
      </c>
      <c r="C10" s="19" t="s">
        <v>7</v>
      </c>
      <c r="D10" s="37" t="s">
        <v>8</v>
      </c>
      <c r="E10" s="55">
        <v>30</v>
      </c>
      <c r="F10" s="11">
        <v>610</v>
      </c>
      <c r="G10" s="12">
        <v>12240000</v>
      </c>
      <c r="H10" s="13">
        <f>F10*$H$8-140</f>
        <v>12794000</v>
      </c>
      <c r="I10" s="13">
        <f>F10*I8+60</f>
        <v>13453000</v>
      </c>
      <c r="J10" s="13">
        <f>$F10*$J$8-430</f>
        <v>14495000</v>
      </c>
      <c r="K10" s="13">
        <f>$F10*$K$8+450</f>
        <v>14979000</v>
      </c>
      <c r="L10" s="13">
        <f>$F10*$L$8+480</f>
        <v>15331000</v>
      </c>
      <c r="M10" s="13">
        <f>$F10*$M$8+110</f>
        <v>15890000</v>
      </c>
      <c r="N10" s="13">
        <f>ROUND(($F10*$N$8),-3)</f>
        <v>16373000</v>
      </c>
      <c r="O10" s="13">
        <f>ROUND(($F10*$O$8),-3)</f>
        <v>16766000</v>
      </c>
      <c r="P10" s="13">
        <f>ROUND(($F10*$P$8),-3)</f>
        <v>17250000</v>
      </c>
      <c r="Q10" s="13">
        <f>ROUND(($F10*$Q$8),-3)</f>
        <v>18149000</v>
      </c>
      <c r="R10" s="13">
        <f>ROUND(($F10*$R$8),-3)</f>
        <v>19434000</v>
      </c>
      <c r="S10" s="13">
        <f>ROUND(($F10*$S$8),-3)</f>
        <v>20225000</v>
      </c>
      <c r="T10" s="13">
        <f>ROUND(($F10*$T$8),-3)</f>
        <v>20905000</v>
      </c>
      <c r="U10" s="13">
        <f>ROUND(($F10*$U$8),-3)</f>
        <v>21720000</v>
      </c>
      <c r="V10" s="13">
        <f>ROUND(($F10*$V$8),-3)</f>
        <v>22148000</v>
      </c>
      <c r="W10" s="13">
        <f>ROUND(($F10*$W$8),-3)</f>
        <v>23182000</v>
      </c>
    </row>
    <row r="11" spans="2:23" ht="30" customHeight="1" x14ac:dyDescent="0.2">
      <c r="B11" s="10">
        <f>B10+1</f>
        <v>2</v>
      </c>
      <c r="C11" s="19" t="s">
        <v>9</v>
      </c>
      <c r="D11" s="19" t="s">
        <v>10</v>
      </c>
      <c r="E11" s="55">
        <v>2.5</v>
      </c>
      <c r="F11" s="11">
        <v>51</v>
      </c>
      <c r="G11" s="12">
        <v>1020000</v>
      </c>
      <c r="H11" s="13">
        <f>F11*$H$8+326</f>
        <v>1070000</v>
      </c>
      <c r="I11" s="13">
        <f>F11*$I$8+246</f>
        <v>1125000</v>
      </c>
      <c r="J11" s="13">
        <f>$F11*$J$8+87</f>
        <v>1212000</v>
      </c>
      <c r="K11" s="13">
        <f>$F11*$K$8-305</f>
        <v>1252000</v>
      </c>
      <c r="L11" s="13">
        <f>$F11*$L$8+268</f>
        <v>1282000</v>
      </c>
      <c r="M11" s="13">
        <f t="shared" ref="M11:M73" si="1">$F11*$M$8+480</f>
        <v>1328979</v>
      </c>
      <c r="N11" s="13">
        <f>ROUND(($F11*$N$8),-3)</f>
        <v>1369000</v>
      </c>
      <c r="O11" s="13">
        <f>ROUND(($F11*$O$8),-3)</f>
        <v>1402000</v>
      </c>
      <c r="P11" s="13">
        <f t="shared" ref="P11:P74" si="2">ROUND(($F11*$P$8),-3)</f>
        <v>1442000</v>
      </c>
      <c r="Q11" s="13">
        <f t="shared" ref="Q11:Q73" si="3">ROUND(($F11*$Q$8),-3)</f>
        <v>1517000</v>
      </c>
      <c r="R11" s="13">
        <f t="shared" ref="R11:R74" si="4">ROUND(($F11*$R$8),-3)</f>
        <v>1625000</v>
      </c>
      <c r="S11" s="13">
        <f t="shared" ref="S11:S74" si="5">ROUND(($F11*$S$8),-3)</f>
        <v>1691000</v>
      </c>
      <c r="T11" s="13">
        <f>ROUND(($F11*$T$8),-3)</f>
        <v>1748000</v>
      </c>
      <c r="U11" s="13">
        <f t="shared" ref="U11:U74" si="6">ROUND(($F11*$U$8),-3)</f>
        <v>1816000</v>
      </c>
      <c r="V11" s="13">
        <f t="shared" ref="V11:V74" si="7">ROUND(($F11*$V$8),-3)</f>
        <v>1852000</v>
      </c>
      <c r="W11" s="13">
        <f t="shared" ref="W11:W74" si="8">ROUND(($F11*$W$8),-3)</f>
        <v>1938000</v>
      </c>
    </row>
    <row r="12" spans="2:23" ht="30" customHeight="1" x14ac:dyDescent="0.2">
      <c r="B12" s="10">
        <f>B11+1</f>
        <v>3</v>
      </c>
      <c r="C12" s="19" t="s">
        <v>11</v>
      </c>
      <c r="D12" s="19" t="s">
        <v>12</v>
      </c>
      <c r="E12" s="55">
        <v>50</v>
      </c>
      <c r="F12" s="14">
        <v>1000</v>
      </c>
      <c r="G12" s="12">
        <v>20400000</v>
      </c>
      <c r="H12" s="13">
        <f>F12*$H$8</f>
        <v>20974000</v>
      </c>
      <c r="I12" s="13">
        <f>F12*$I$8</f>
        <v>22054000</v>
      </c>
      <c r="J12" s="13">
        <f>$F12*$J$8</f>
        <v>23763000</v>
      </c>
      <c r="K12" s="13">
        <f>$F12*$K$8</f>
        <v>24555000</v>
      </c>
      <c r="L12" s="13">
        <f>$F12*$L$8</f>
        <v>25132000</v>
      </c>
      <c r="M12" s="13">
        <f t="shared" si="1"/>
        <v>26049480</v>
      </c>
      <c r="N12" s="13">
        <f>ROUND(($F12*$N$8),-3)</f>
        <v>26841000</v>
      </c>
      <c r="O12" s="13">
        <f>ROUND(($F12*$O$8),-3)</f>
        <v>27485000</v>
      </c>
      <c r="P12" s="13">
        <f t="shared" si="2"/>
        <v>28279000</v>
      </c>
      <c r="Q12" s="13">
        <f t="shared" si="3"/>
        <v>29753000</v>
      </c>
      <c r="R12" s="13">
        <f t="shared" si="4"/>
        <v>31859000</v>
      </c>
      <c r="S12" s="13">
        <f t="shared" si="5"/>
        <v>33156000</v>
      </c>
      <c r="T12" s="13">
        <f t="shared" ref="T12:U75" si="9">ROUND(($F12*$T$8),-3)</f>
        <v>34270000</v>
      </c>
      <c r="U12" s="13">
        <f t="shared" si="6"/>
        <v>35607000</v>
      </c>
      <c r="V12" s="13">
        <f t="shared" si="7"/>
        <v>36308000</v>
      </c>
      <c r="W12" s="13">
        <f t="shared" si="8"/>
        <v>38004000</v>
      </c>
    </row>
    <row r="13" spans="2:23" ht="30" customHeight="1" x14ac:dyDescent="0.2">
      <c r="B13" s="10">
        <f>B12+1</f>
        <v>4</v>
      </c>
      <c r="C13" s="19" t="s">
        <v>13</v>
      </c>
      <c r="D13" s="19"/>
      <c r="E13" s="55"/>
      <c r="F13" s="11"/>
      <c r="G13" s="9"/>
      <c r="H13" s="15"/>
      <c r="I13" s="9"/>
      <c r="J13" s="9"/>
      <c r="K13" s="9"/>
      <c r="L13" s="9"/>
      <c r="M13" s="13" t="s">
        <v>0</v>
      </c>
      <c r="N13" s="13" t="s">
        <v>0</v>
      </c>
      <c r="O13" s="13">
        <f t="shared" ref="O13:O76" si="10">ROUND(($F13*$O$8),-3)</f>
        <v>0</v>
      </c>
      <c r="P13" s="13" t="s">
        <v>0</v>
      </c>
      <c r="Q13" s="13" t="s">
        <v>0</v>
      </c>
      <c r="R13" s="13">
        <f t="shared" si="4"/>
        <v>0</v>
      </c>
      <c r="S13" s="13">
        <f t="shared" si="5"/>
        <v>0</v>
      </c>
      <c r="T13" s="13">
        <f t="shared" si="9"/>
        <v>0</v>
      </c>
      <c r="U13" s="13">
        <f t="shared" si="9"/>
        <v>0</v>
      </c>
      <c r="V13" s="13">
        <f t="shared" si="7"/>
        <v>0</v>
      </c>
      <c r="W13" s="13">
        <f t="shared" si="8"/>
        <v>0</v>
      </c>
    </row>
    <row r="14" spans="2:23" ht="30" customHeight="1" x14ac:dyDescent="0.2">
      <c r="B14" s="10"/>
      <c r="C14" s="19" t="s">
        <v>14</v>
      </c>
      <c r="D14" s="19" t="s">
        <v>15</v>
      </c>
      <c r="E14" s="55">
        <v>5000</v>
      </c>
      <c r="F14" s="14">
        <v>100000</v>
      </c>
      <c r="G14" s="12">
        <v>2040000000</v>
      </c>
      <c r="H14" s="13">
        <f>F14*$H$8</f>
        <v>2097400000</v>
      </c>
      <c r="I14" s="13">
        <f>F14*$I$8</f>
        <v>2205400000</v>
      </c>
      <c r="J14" s="13">
        <f>$F14*$J$8</f>
        <v>2376300000</v>
      </c>
      <c r="K14" s="13">
        <f>$F14*$K$8</f>
        <v>2455500000</v>
      </c>
      <c r="L14" s="13">
        <f>$F14*$L$8</f>
        <v>2513200000</v>
      </c>
      <c r="M14" s="13">
        <f t="shared" si="1"/>
        <v>2604900480</v>
      </c>
      <c r="N14" s="13">
        <f t="shared" ref="N14:N77" si="11">ROUND(($F14*$N$8),-3)</f>
        <v>2684100000</v>
      </c>
      <c r="O14" s="13">
        <f t="shared" si="10"/>
        <v>2748500000</v>
      </c>
      <c r="P14" s="13">
        <f t="shared" si="2"/>
        <v>2827900000</v>
      </c>
      <c r="Q14" s="13">
        <f t="shared" si="3"/>
        <v>2975300000</v>
      </c>
      <c r="R14" s="13">
        <f t="shared" si="4"/>
        <v>3185900000</v>
      </c>
      <c r="S14" s="13">
        <f t="shared" si="5"/>
        <v>3315600000</v>
      </c>
      <c r="T14" s="13">
        <f t="shared" si="9"/>
        <v>3427000000</v>
      </c>
      <c r="U14" s="13">
        <f t="shared" si="6"/>
        <v>3560700000</v>
      </c>
      <c r="V14" s="13">
        <f t="shared" si="7"/>
        <v>3630800000</v>
      </c>
      <c r="W14" s="13">
        <f t="shared" si="8"/>
        <v>3800400000</v>
      </c>
    </row>
    <row r="15" spans="2:23" ht="30" customHeight="1" x14ac:dyDescent="0.2">
      <c r="B15" s="10"/>
      <c r="C15" s="19" t="s">
        <v>16</v>
      </c>
      <c r="D15" s="19" t="s">
        <v>17</v>
      </c>
      <c r="E15" s="55">
        <v>3000</v>
      </c>
      <c r="F15" s="14">
        <v>61000</v>
      </c>
      <c r="G15" s="12">
        <v>1224000000</v>
      </c>
      <c r="H15" s="13">
        <f>F15*$H$8</f>
        <v>1279414000</v>
      </c>
      <c r="I15" s="13">
        <f>F15*$I$8</f>
        <v>1345294000</v>
      </c>
      <c r="J15" s="13">
        <f>$F15*$J$8</f>
        <v>1449543000</v>
      </c>
      <c r="K15" s="13">
        <f>$F15*$K$8</f>
        <v>1497855000</v>
      </c>
      <c r="L15" s="13">
        <f>$F15*$L$8</f>
        <v>1533052000</v>
      </c>
      <c r="M15" s="13">
        <f t="shared" si="1"/>
        <v>1588989480</v>
      </c>
      <c r="N15" s="13">
        <f t="shared" si="11"/>
        <v>1637301000</v>
      </c>
      <c r="O15" s="13">
        <f t="shared" si="10"/>
        <v>1676585000</v>
      </c>
      <c r="P15" s="13">
        <f t="shared" si="2"/>
        <v>1725019000</v>
      </c>
      <c r="Q15" s="13">
        <f t="shared" si="3"/>
        <v>1814933000</v>
      </c>
      <c r="R15" s="13">
        <f t="shared" si="4"/>
        <v>1943399000</v>
      </c>
      <c r="S15" s="13">
        <f t="shared" si="5"/>
        <v>2022516000</v>
      </c>
      <c r="T15" s="13">
        <f t="shared" si="9"/>
        <v>2090470000</v>
      </c>
      <c r="U15" s="13">
        <f t="shared" si="6"/>
        <v>2172027000</v>
      </c>
      <c r="V15" s="13">
        <f t="shared" si="7"/>
        <v>2214788000</v>
      </c>
      <c r="W15" s="13">
        <f t="shared" si="8"/>
        <v>2318244000</v>
      </c>
    </row>
    <row r="16" spans="2:23" ht="30" customHeight="1" x14ac:dyDescent="0.2">
      <c r="B16" s="10">
        <f>B13+1</f>
        <v>5</v>
      </c>
      <c r="C16" s="19" t="s">
        <v>18</v>
      </c>
      <c r="D16" s="19"/>
      <c r="E16" s="55"/>
      <c r="F16" s="11"/>
      <c r="G16" s="9"/>
      <c r="H16" s="15"/>
      <c r="I16" s="9"/>
      <c r="J16" s="9"/>
      <c r="K16" s="9"/>
      <c r="L16" s="13" t="s">
        <v>0</v>
      </c>
      <c r="M16" s="13" t="s">
        <v>0</v>
      </c>
      <c r="N16" s="13" t="s">
        <v>0</v>
      </c>
      <c r="O16" s="13">
        <f t="shared" si="10"/>
        <v>0</v>
      </c>
      <c r="P16" s="13">
        <f t="shared" si="2"/>
        <v>0</v>
      </c>
      <c r="Q16" s="13" t="s">
        <v>0</v>
      </c>
      <c r="R16" s="13">
        <f t="shared" si="4"/>
        <v>0</v>
      </c>
      <c r="S16" s="13">
        <f t="shared" si="5"/>
        <v>0</v>
      </c>
      <c r="T16" s="13">
        <f t="shared" si="9"/>
        <v>0</v>
      </c>
      <c r="U16" s="13">
        <f t="shared" si="6"/>
        <v>0</v>
      </c>
      <c r="V16" s="13">
        <f t="shared" si="7"/>
        <v>0</v>
      </c>
      <c r="W16" s="13">
        <f t="shared" si="8"/>
        <v>0</v>
      </c>
    </row>
    <row r="17" spans="2:23" ht="30" customHeight="1" x14ac:dyDescent="0.2">
      <c r="B17" s="10"/>
      <c r="C17" s="19" t="s">
        <v>14</v>
      </c>
      <c r="D17" s="19" t="s">
        <v>19</v>
      </c>
      <c r="E17" s="55">
        <v>5000</v>
      </c>
      <c r="F17" s="14">
        <v>100000</v>
      </c>
      <c r="G17" s="12">
        <v>2040000000</v>
      </c>
      <c r="H17" s="13">
        <f>F17*$H$8</f>
        <v>2097400000</v>
      </c>
      <c r="I17" s="13">
        <f>F17*$I$8</f>
        <v>2205400000</v>
      </c>
      <c r="J17" s="13">
        <f>$F17*$J$8</f>
        <v>2376300000</v>
      </c>
      <c r="K17" s="13">
        <f>$F17*$K$8</f>
        <v>2455500000</v>
      </c>
      <c r="L17" s="13">
        <f>$F17*$L$8</f>
        <v>2513200000</v>
      </c>
      <c r="M17" s="13">
        <f t="shared" si="1"/>
        <v>2604900480</v>
      </c>
      <c r="N17" s="13">
        <f t="shared" si="11"/>
        <v>2684100000</v>
      </c>
      <c r="O17" s="13">
        <f t="shared" si="10"/>
        <v>2748500000</v>
      </c>
      <c r="P17" s="13">
        <f t="shared" si="2"/>
        <v>2827900000</v>
      </c>
      <c r="Q17" s="13">
        <f t="shared" si="3"/>
        <v>2975300000</v>
      </c>
      <c r="R17" s="13">
        <f t="shared" si="4"/>
        <v>3185900000</v>
      </c>
      <c r="S17" s="13">
        <f t="shared" si="5"/>
        <v>3315600000</v>
      </c>
      <c r="T17" s="13">
        <f t="shared" si="9"/>
        <v>3427000000</v>
      </c>
      <c r="U17" s="13">
        <f t="shared" si="6"/>
        <v>3560700000</v>
      </c>
      <c r="V17" s="13">
        <f t="shared" si="7"/>
        <v>3630800000</v>
      </c>
      <c r="W17" s="13">
        <f t="shared" si="8"/>
        <v>3800400000</v>
      </c>
    </row>
    <row r="18" spans="2:23" ht="30" customHeight="1" x14ac:dyDescent="0.2">
      <c r="B18" s="10"/>
      <c r="C18" s="19" t="s">
        <v>16</v>
      </c>
      <c r="D18" s="19" t="s">
        <v>20</v>
      </c>
      <c r="E18" s="55">
        <v>3000</v>
      </c>
      <c r="F18" s="14">
        <v>61000</v>
      </c>
      <c r="G18" s="12">
        <v>1224000000</v>
      </c>
      <c r="H18" s="13">
        <f>F18*$H$8</f>
        <v>1279414000</v>
      </c>
      <c r="I18" s="13">
        <f>F18*$I$8</f>
        <v>1345294000</v>
      </c>
      <c r="J18" s="13">
        <f>$F18*$J$8</f>
        <v>1449543000</v>
      </c>
      <c r="K18" s="13">
        <f>$F18*$K$8</f>
        <v>1497855000</v>
      </c>
      <c r="L18" s="13">
        <f>$F18*$L$8</f>
        <v>1533052000</v>
      </c>
      <c r="M18" s="13">
        <f t="shared" si="1"/>
        <v>1588989480</v>
      </c>
      <c r="N18" s="13">
        <f t="shared" si="11"/>
        <v>1637301000</v>
      </c>
      <c r="O18" s="13">
        <f t="shared" si="10"/>
        <v>1676585000</v>
      </c>
      <c r="P18" s="13">
        <f t="shared" si="2"/>
        <v>1725019000</v>
      </c>
      <c r="Q18" s="13">
        <f t="shared" si="3"/>
        <v>1814933000</v>
      </c>
      <c r="R18" s="13">
        <f t="shared" si="4"/>
        <v>1943399000</v>
      </c>
      <c r="S18" s="13">
        <f t="shared" si="5"/>
        <v>2022516000</v>
      </c>
      <c r="T18" s="13">
        <f t="shared" si="9"/>
        <v>2090470000</v>
      </c>
      <c r="U18" s="13">
        <f t="shared" si="6"/>
        <v>2172027000</v>
      </c>
      <c r="V18" s="13">
        <f t="shared" si="7"/>
        <v>2214788000</v>
      </c>
      <c r="W18" s="13">
        <f t="shared" si="8"/>
        <v>2318244000</v>
      </c>
    </row>
    <row r="19" spans="2:23" ht="30" customHeight="1" x14ac:dyDescent="0.2">
      <c r="B19" s="10">
        <f>B16+1</f>
        <v>6</v>
      </c>
      <c r="C19" s="19" t="s">
        <v>21</v>
      </c>
      <c r="D19" s="19"/>
      <c r="E19" s="55">
        <v>20</v>
      </c>
      <c r="F19" s="11">
        <v>410</v>
      </c>
      <c r="G19" s="12">
        <v>8160000</v>
      </c>
      <c r="H19" s="13">
        <f>F19*$H$8-340</f>
        <v>8599000</v>
      </c>
      <c r="I19" s="13">
        <f>F19*$I$8-140</f>
        <v>9042000</v>
      </c>
      <c r="J19" s="13">
        <f>$F19*$J$8+170</f>
        <v>9743000</v>
      </c>
      <c r="K19" s="13">
        <f>$F19*$K$8+450</f>
        <v>10068000</v>
      </c>
      <c r="L19" s="13">
        <f>$F19*$L$8-120</f>
        <v>10304000</v>
      </c>
      <c r="M19" s="13">
        <f t="shared" si="1"/>
        <v>10680570</v>
      </c>
      <c r="N19" s="13">
        <f t="shared" si="11"/>
        <v>11005000</v>
      </c>
      <c r="O19" s="13">
        <f t="shared" si="10"/>
        <v>11269000</v>
      </c>
      <c r="P19" s="13">
        <f t="shared" si="2"/>
        <v>11594000</v>
      </c>
      <c r="Q19" s="13">
        <f t="shared" si="3"/>
        <v>12199000</v>
      </c>
      <c r="R19" s="13">
        <f t="shared" si="4"/>
        <v>13062000</v>
      </c>
      <c r="S19" s="13">
        <f t="shared" si="5"/>
        <v>13594000</v>
      </c>
      <c r="T19" s="13">
        <f t="shared" si="9"/>
        <v>14051000</v>
      </c>
      <c r="U19" s="13">
        <f t="shared" si="6"/>
        <v>14599000</v>
      </c>
      <c r="V19" s="13">
        <f t="shared" si="7"/>
        <v>14886000</v>
      </c>
      <c r="W19" s="13">
        <f t="shared" si="8"/>
        <v>15582000</v>
      </c>
    </row>
    <row r="20" spans="2:23" ht="30" customHeight="1" x14ac:dyDescent="0.2">
      <c r="B20" s="10">
        <f>B19+1</f>
        <v>7</v>
      </c>
      <c r="C20" s="19" t="s">
        <v>22</v>
      </c>
      <c r="D20" s="19"/>
      <c r="E20" s="55"/>
      <c r="F20" s="11"/>
      <c r="G20" s="9"/>
      <c r="H20" s="9"/>
      <c r="I20" s="9"/>
      <c r="J20" s="9"/>
      <c r="K20" s="9"/>
      <c r="L20" s="13" t="s">
        <v>0</v>
      </c>
      <c r="M20" s="13" t="s">
        <v>0</v>
      </c>
      <c r="N20" s="13" t="s">
        <v>0</v>
      </c>
      <c r="O20" s="13">
        <f t="shared" si="10"/>
        <v>0</v>
      </c>
      <c r="P20" s="13">
        <f t="shared" si="2"/>
        <v>0</v>
      </c>
      <c r="Q20" s="13" t="s">
        <v>0</v>
      </c>
      <c r="R20" s="13">
        <f t="shared" si="4"/>
        <v>0</v>
      </c>
      <c r="S20" s="13">
        <f t="shared" si="5"/>
        <v>0</v>
      </c>
      <c r="T20" s="13">
        <f t="shared" si="9"/>
        <v>0</v>
      </c>
      <c r="U20" s="13">
        <f t="shared" si="6"/>
        <v>0</v>
      </c>
      <c r="V20" s="13">
        <f t="shared" si="7"/>
        <v>0</v>
      </c>
      <c r="W20" s="13">
        <f t="shared" si="8"/>
        <v>0</v>
      </c>
    </row>
    <row r="21" spans="2:23" ht="30" customHeight="1" x14ac:dyDescent="0.2">
      <c r="B21" s="10"/>
      <c r="C21" s="19" t="s">
        <v>14</v>
      </c>
      <c r="D21" s="19" t="s">
        <v>23</v>
      </c>
      <c r="E21" s="55">
        <v>15</v>
      </c>
      <c r="F21" s="11">
        <v>310</v>
      </c>
      <c r="G21" s="12">
        <v>6120000</v>
      </c>
      <c r="H21" s="13">
        <f>F21*$H$8+60</f>
        <v>6502000</v>
      </c>
      <c r="I21" s="13">
        <f>F21*$I$8+260</f>
        <v>6837000</v>
      </c>
      <c r="J21" s="13">
        <f>$F21*$J$8+470</f>
        <v>7367000</v>
      </c>
      <c r="K21" s="13">
        <f>$F21*$K$8-50</f>
        <v>7612000</v>
      </c>
      <c r="L21" s="13">
        <f>$F21*$L$8+80</f>
        <v>7791000</v>
      </c>
      <c r="M21" s="13">
        <f t="shared" si="1"/>
        <v>8075670</v>
      </c>
      <c r="N21" s="13">
        <f t="shared" si="11"/>
        <v>8321000</v>
      </c>
      <c r="O21" s="13">
        <f t="shared" si="10"/>
        <v>8520000</v>
      </c>
      <c r="P21" s="13">
        <f t="shared" si="2"/>
        <v>8766000</v>
      </c>
      <c r="Q21" s="13">
        <f t="shared" si="3"/>
        <v>9223000</v>
      </c>
      <c r="R21" s="13">
        <f t="shared" si="4"/>
        <v>9876000</v>
      </c>
      <c r="S21" s="13">
        <f t="shared" si="5"/>
        <v>10278000</v>
      </c>
      <c r="T21" s="13">
        <f t="shared" si="9"/>
        <v>10624000</v>
      </c>
      <c r="U21" s="13">
        <f t="shared" si="6"/>
        <v>11038000</v>
      </c>
      <c r="V21" s="13">
        <f t="shared" si="7"/>
        <v>11255000</v>
      </c>
      <c r="W21" s="13">
        <f t="shared" si="8"/>
        <v>11781000</v>
      </c>
    </row>
    <row r="22" spans="2:23" ht="30" customHeight="1" x14ac:dyDescent="0.2">
      <c r="B22" s="10"/>
      <c r="C22" s="19" t="s">
        <v>24</v>
      </c>
      <c r="D22" s="19" t="s">
        <v>25</v>
      </c>
      <c r="E22" s="55">
        <v>2</v>
      </c>
      <c r="F22" s="11">
        <v>41</v>
      </c>
      <c r="G22" s="12">
        <v>816000</v>
      </c>
      <c r="H22" s="13">
        <f>F22*$H$8+66</f>
        <v>860000</v>
      </c>
      <c r="I22" s="13">
        <f>F22*$I$8-214</f>
        <v>904000</v>
      </c>
      <c r="J22" s="13">
        <f>$F22*$J$8-283</f>
        <v>974000</v>
      </c>
      <c r="K22" s="13">
        <f>$F22*$K$8+245</f>
        <v>1007000</v>
      </c>
      <c r="L22" s="13">
        <f>$F22*$L$8-412</f>
        <v>1030000</v>
      </c>
      <c r="M22" s="13">
        <f t="shared" si="1"/>
        <v>1068489</v>
      </c>
      <c r="N22" s="13">
        <f t="shared" si="11"/>
        <v>1100000</v>
      </c>
      <c r="O22" s="13">
        <f t="shared" si="10"/>
        <v>1127000</v>
      </c>
      <c r="P22" s="13">
        <f t="shared" si="2"/>
        <v>1159000</v>
      </c>
      <c r="Q22" s="13">
        <f t="shared" si="3"/>
        <v>1220000</v>
      </c>
      <c r="R22" s="13">
        <f t="shared" si="4"/>
        <v>1306000</v>
      </c>
      <c r="S22" s="13">
        <f t="shared" si="5"/>
        <v>1359000</v>
      </c>
      <c r="T22" s="13">
        <f t="shared" si="9"/>
        <v>1405000</v>
      </c>
      <c r="U22" s="13">
        <f t="shared" si="6"/>
        <v>1460000</v>
      </c>
      <c r="V22" s="13">
        <f t="shared" si="7"/>
        <v>1489000</v>
      </c>
      <c r="W22" s="13">
        <f t="shared" si="8"/>
        <v>1558000</v>
      </c>
    </row>
    <row r="23" spans="2:23" ht="30" customHeight="1" x14ac:dyDescent="0.2">
      <c r="B23" s="10">
        <f>B20+1</f>
        <v>8</v>
      </c>
      <c r="C23" s="19" t="s">
        <v>26</v>
      </c>
      <c r="D23" s="19"/>
      <c r="E23" s="55"/>
      <c r="F23" s="11"/>
      <c r="G23" s="9"/>
      <c r="H23" s="9"/>
      <c r="I23" s="9"/>
      <c r="J23" s="9"/>
      <c r="K23" s="9"/>
      <c r="L23" s="13" t="s">
        <v>0</v>
      </c>
      <c r="M23" s="13" t="s">
        <v>0</v>
      </c>
      <c r="N23" s="13" t="s">
        <v>0</v>
      </c>
      <c r="O23" s="13">
        <f t="shared" si="10"/>
        <v>0</v>
      </c>
      <c r="P23" s="13">
        <f t="shared" si="2"/>
        <v>0</v>
      </c>
      <c r="Q23" s="13" t="s">
        <v>0</v>
      </c>
      <c r="R23" s="13">
        <f t="shared" si="4"/>
        <v>0</v>
      </c>
      <c r="S23" s="13">
        <f t="shared" si="5"/>
        <v>0</v>
      </c>
      <c r="T23" s="13">
        <f t="shared" si="9"/>
        <v>0</v>
      </c>
      <c r="U23" s="13">
        <f t="shared" si="6"/>
        <v>0</v>
      </c>
      <c r="V23" s="13">
        <f t="shared" si="7"/>
        <v>0</v>
      </c>
      <c r="W23" s="13">
        <f t="shared" si="8"/>
        <v>0</v>
      </c>
    </row>
    <row r="24" spans="2:23" ht="30" customHeight="1" x14ac:dyDescent="0.2">
      <c r="B24" s="10"/>
      <c r="C24" s="19" t="s">
        <v>14</v>
      </c>
      <c r="D24" s="19" t="s">
        <v>27</v>
      </c>
      <c r="E24" s="55">
        <v>1</v>
      </c>
      <c r="F24" s="11">
        <v>20</v>
      </c>
      <c r="G24" s="12">
        <v>408000</v>
      </c>
      <c r="H24" s="13">
        <f>F24*$H$8-480</f>
        <v>419000</v>
      </c>
      <c r="I24" s="13">
        <f>F24*$I$8-80</f>
        <v>441000</v>
      </c>
      <c r="J24" s="13">
        <f>$F24*$J$8-260</f>
        <v>475000</v>
      </c>
      <c r="K24" s="13">
        <f>$F24*$K$8-100</f>
        <v>491000</v>
      </c>
      <c r="L24" s="13">
        <f>$F24*$L$8+360</f>
        <v>503000</v>
      </c>
      <c r="M24" s="13">
        <f t="shared" si="1"/>
        <v>521460</v>
      </c>
      <c r="N24" s="13">
        <f t="shared" si="11"/>
        <v>537000</v>
      </c>
      <c r="O24" s="13">
        <f t="shared" si="10"/>
        <v>550000</v>
      </c>
      <c r="P24" s="13">
        <f t="shared" si="2"/>
        <v>566000</v>
      </c>
      <c r="Q24" s="13">
        <f t="shared" si="3"/>
        <v>595000</v>
      </c>
      <c r="R24" s="13">
        <f t="shared" si="4"/>
        <v>637000</v>
      </c>
      <c r="S24" s="13">
        <f t="shared" si="5"/>
        <v>663000</v>
      </c>
      <c r="T24" s="13">
        <f t="shared" si="9"/>
        <v>685000</v>
      </c>
      <c r="U24" s="13">
        <f t="shared" si="6"/>
        <v>712000</v>
      </c>
      <c r="V24" s="13">
        <f t="shared" si="7"/>
        <v>726000</v>
      </c>
      <c r="W24" s="13">
        <f t="shared" si="8"/>
        <v>760000</v>
      </c>
    </row>
    <row r="25" spans="2:23" ht="30" customHeight="1" x14ac:dyDescent="0.2">
      <c r="B25" s="10"/>
      <c r="C25" s="19" t="s">
        <v>16</v>
      </c>
      <c r="D25" s="19" t="s">
        <v>28</v>
      </c>
      <c r="E25" s="55">
        <v>14</v>
      </c>
      <c r="F25" s="11">
        <v>290</v>
      </c>
      <c r="G25" s="12">
        <v>5712000</v>
      </c>
      <c r="H25" s="13">
        <f>F25*$H$8-460</f>
        <v>6082000</v>
      </c>
      <c r="I25" s="13">
        <f>F25*$I$8+340</f>
        <v>6396000</v>
      </c>
      <c r="J25" s="13">
        <f>$F25*$J$8-270</f>
        <v>6891000</v>
      </c>
      <c r="K25" s="13">
        <f>$F25*$K$8+50</f>
        <v>7121000</v>
      </c>
      <c r="L25" s="13">
        <f>$F25*$L$8-280</f>
        <v>7288000</v>
      </c>
      <c r="M25" s="13">
        <f t="shared" si="1"/>
        <v>7554690</v>
      </c>
      <c r="N25" s="13">
        <f t="shared" si="11"/>
        <v>7784000</v>
      </c>
      <c r="O25" s="13">
        <f t="shared" si="10"/>
        <v>7971000</v>
      </c>
      <c r="P25" s="13">
        <f t="shared" si="2"/>
        <v>8201000</v>
      </c>
      <c r="Q25" s="13">
        <f t="shared" si="3"/>
        <v>8628000</v>
      </c>
      <c r="R25" s="13">
        <f t="shared" si="4"/>
        <v>9239000</v>
      </c>
      <c r="S25" s="13">
        <f t="shared" si="5"/>
        <v>9615000</v>
      </c>
      <c r="T25" s="13">
        <f t="shared" si="9"/>
        <v>9938000</v>
      </c>
      <c r="U25" s="13">
        <f t="shared" si="6"/>
        <v>10326000</v>
      </c>
      <c r="V25" s="13">
        <f t="shared" si="7"/>
        <v>10529000</v>
      </c>
      <c r="W25" s="13">
        <f t="shared" si="8"/>
        <v>11021000</v>
      </c>
    </row>
    <row r="26" spans="2:23" ht="30" customHeight="1" x14ac:dyDescent="0.2">
      <c r="B26" s="10">
        <f>B23+1</f>
        <v>9</v>
      </c>
      <c r="C26" s="19" t="s">
        <v>29</v>
      </c>
      <c r="D26" s="19"/>
      <c r="E26" s="55"/>
      <c r="F26" s="11"/>
      <c r="G26" s="9"/>
      <c r="H26" s="9"/>
      <c r="I26" s="9"/>
      <c r="J26" s="9"/>
      <c r="K26" s="9"/>
      <c r="L26" s="13" t="s">
        <v>0</v>
      </c>
      <c r="M26" s="13" t="s">
        <v>0</v>
      </c>
      <c r="N26" s="13" t="s">
        <v>0</v>
      </c>
      <c r="O26" s="13">
        <f t="shared" si="10"/>
        <v>0</v>
      </c>
      <c r="P26" s="13">
        <f t="shared" si="2"/>
        <v>0</v>
      </c>
      <c r="Q26" s="13" t="s">
        <v>0</v>
      </c>
      <c r="R26" s="13">
        <f t="shared" si="4"/>
        <v>0</v>
      </c>
      <c r="S26" s="13">
        <f t="shared" si="5"/>
        <v>0</v>
      </c>
      <c r="T26" s="13">
        <f t="shared" si="9"/>
        <v>0</v>
      </c>
      <c r="U26" s="13">
        <f t="shared" si="6"/>
        <v>0</v>
      </c>
      <c r="V26" s="13">
        <f t="shared" si="7"/>
        <v>0</v>
      </c>
      <c r="W26" s="13">
        <f t="shared" si="8"/>
        <v>0</v>
      </c>
    </row>
    <row r="27" spans="2:23" ht="30" customHeight="1" x14ac:dyDescent="0.2">
      <c r="B27" s="10"/>
      <c r="C27" s="19" t="s">
        <v>14</v>
      </c>
      <c r="D27" s="19" t="s">
        <v>30</v>
      </c>
      <c r="E27" s="55">
        <v>200</v>
      </c>
      <c r="F27" s="14">
        <v>4100</v>
      </c>
      <c r="G27" s="12">
        <v>81600000</v>
      </c>
      <c r="H27" s="13">
        <f>F27*$H$8-400</f>
        <v>85993000</v>
      </c>
      <c r="I27" s="13">
        <f>F27*$I$8-400</f>
        <v>90421000</v>
      </c>
      <c r="J27" s="13">
        <f>$F27*$J$8-300</f>
        <v>97428000</v>
      </c>
      <c r="K27" s="13">
        <f>$F27*$K$8+500</f>
        <v>100676000</v>
      </c>
      <c r="L27" s="13">
        <f>$F27*$L$8-200</f>
        <v>103041000</v>
      </c>
      <c r="M27" s="13">
        <f t="shared" si="1"/>
        <v>106801380</v>
      </c>
      <c r="N27" s="13">
        <f t="shared" si="11"/>
        <v>110048000</v>
      </c>
      <c r="O27" s="13">
        <f t="shared" si="10"/>
        <v>112689000</v>
      </c>
      <c r="P27" s="13">
        <f t="shared" si="2"/>
        <v>115944000</v>
      </c>
      <c r="Q27" s="13">
        <f t="shared" si="3"/>
        <v>121987000</v>
      </c>
      <c r="R27" s="13">
        <f t="shared" si="4"/>
        <v>130622000</v>
      </c>
      <c r="S27" s="13">
        <f t="shared" si="5"/>
        <v>135940000</v>
      </c>
      <c r="T27" s="13">
        <f t="shared" si="9"/>
        <v>140507000</v>
      </c>
      <c r="U27" s="13">
        <f t="shared" si="6"/>
        <v>145989000</v>
      </c>
      <c r="V27" s="13">
        <f t="shared" si="7"/>
        <v>148863000</v>
      </c>
      <c r="W27" s="13">
        <f t="shared" si="8"/>
        <v>155816000</v>
      </c>
    </row>
    <row r="28" spans="2:23" ht="30" customHeight="1" x14ac:dyDescent="0.2">
      <c r="B28" s="10"/>
      <c r="C28" s="19" t="s">
        <v>31</v>
      </c>
      <c r="D28" s="19" t="s">
        <v>32</v>
      </c>
      <c r="E28" s="55">
        <v>20</v>
      </c>
      <c r="F28" s="11">
        <v>410</v>
      </c>
      <c r="G28" s="16">
        <v>8160000</v>
      </c>
      <c r="H28" s="13">
        <f>F28*$H$8-340</f>
        <v>8599000</v>
      </c>
      <c r="I28" s="13">
        <f>F28*$I$8-140</f>
        <v>9042000</v>
      </c>
      <c r="J28" s="13">
        <f>$F28*$J$8+170</f>
        <v>9743000</v>
      </c>
      <c r="K28" s="13">
        <f>$F28*$K$8+450</f>
        <v>10068000</v>
      </c>
      <c r="L28" s="13">
        <f>$F28*$L$8-120</f>
        <v>10304000</v>
      </c>
      <c r="M28" s="13">
        <f t="shared" si="1"/>
        <v>10680570</v>
      </c>
      <c r="N28" s="13">
        <f t="shared" si="11"/>
        <v>11005000</v>
      </c>
      <c r="O28" s="13">
        <f t="shared" si="10"/>
        <v>11269000</v>
      </c>
      <c r="P28" s="13">
        <f t="shared" si="2"/>
        <v>11594000</v>
      </c>
      <c r="Q28" s="13">
        <f t="shared" si="3"/>
        <v>12199000</v>
      </c>
      <c r="R28" s="13">
        <f t="shared" si="4"/>
        <v>13062000</v>
      </c>
      <c r="S28" s="13">
        <f t="shared" si="5"/>
        <v>13594000</v>
      </c>
      <c r="T28" s="13">
        <f t="shared" si="9"/>
        <v>14051000</v>
      </c>
      <c r="U28" s="13">
        <f t="shared" si="6"/>
        <v>14599000</v>
      </c>
      <c r="V28" s="13">
        <f t="shared" si="7"/>
        <v>14886000</v>
      </c>
      <c r="W28" s="13">
        <f t="shared" si="8"/>
        <v>15582000</v>
      </c>
    </row>
    <row r="29" spans="2:23" ht="30" customHeight="1" x14ac:dyDescent="0.2">
      <c r="B29" s="10"/>
      <c r="C29" s="19" t="s">
        <v>33</v>
      </c>
      <c r="D29" s="19" t="s">
        <v>32</v>
      </c>
      <c r="E29" s="55">
        <v>100</v>
      </c>
      <c r="F29" s="11">
        <v>2000</v>
      </c>
      <c r="G29" s="16">
        <v>40800000</v>
      </c>
      <c r="H29" s="13">
        <f>F29*$H$8</f>
        <v>41948000</v>
      </c>
      <c r="I29" s="13">
        <f>F29*$I$8</f>
        <v>44108000</v>
      </c>
      <c r="J29" s="13">
        <f>$F29*$J$8</f>
        <v>47526000</v>
      </c>
      <c r="K29" s="13">
        <f>$F29*$K$8</f>
        <v>49110000</v>
      </c>
      <c r="L29" s="13">
        <f>$F29*$L$8</f>
        <v>50264000</v>
      </c>
      <c r="M29" s="13">
        <f t="shared" si="1"/>
        <v>52098480</v>
      </c>
      <c r="N29" s="13">
        <f t="shared" si="11"/>
        <v>53682000</v>
      </c>
      <c r="O29" s="13">
        <f t="shared" si="10"/>
        <v>54970000</v>
      </c>
      <c r="P29" s="13">
        <f t="shared" si="2"/>
        <v>56558000</v>
      </c>
      <c r="Q29" s="13">
        <f t="shared" si="3"/>
        <v>59506000</v>
      </c>
      <c r="R29" s="13">
        <f t="shared" si="4"/>
        <v>63718000</v>
      </c>
      <c r="S29" s="13">
        <f t="shared" si="5"/>
        <v>66312000</v>
      </c>
      <c r="T29" s="13">
        <f t="shared" si="9"/>
        <v>68540000</v>
      </c>
      <c r="U29" s="13">
        <f t="shared" si="6"/>
        <v>71214000</v>
      </c>
      <c r="V29" s="13">
        <f t="shared" si="7"/>
        <v>72616000</v>
      </c>
      <c r="W29" s="13">
        <f t="shared" si="8"/>
        <v>76008000</v>
      </c>
    </row>
    <row r="30" spans="2:23" ht="30" customHeight="1" x14ac:dyDescent="0.2">
      <c r="B30" s="10">
        <f>B26+1</f>
        <v>10</v>
      </c>
      <c r="C30" s="19" t="s">
        <v>34</v>
      </c>
      <c r="D30" s="19" t="s">
        <v>35</v>
      </c>
      <c r="E30" s="55">
        <v>200</v>
      </c>
      <c r="F30" s="14">
        <v>4100</v>
      </c>
      <c r="G30" s="12">
        <v>81600000</v>
      </c>
      <c r="H30" s="13">
        <f>F30*$H$8-400</f>
        <v>85993000</v>
      </c>
      <c r="I30" s="13">
        <f>F30*$I$8-400</f>
        <v>90421000</v>
      </c>
      <c r="J30" s="13">
        <f>$F30*$J$8-300</f>
        <v>97428000</v>
      </c>
      <c r="K30" s="13">
        <f>$F30*$K$8+500</f>
        <v>100676000</v>
      </c>
      <c r="L30" s="13">
        <f>$F30*$L$8-200</f>
        <v>103041000</v>
      </c>
      <c r="M30" s="13">
        <f t="shared" si="1"/>
        <v>106801380</v>
      </c>
      <c r="N30" s="13">
        <f t="shared" si="11"/>
        <v>110048000</v>
      </c>
      <c r="O30" s="13">
        <f t="shared" si="10"/>
        <v>112689000</v>
      </c>
      <c r="P30" s="13">
        <f t="shared" si="2"/>
        <v>115944000</v>
      </c>
      <c r="Q30" s="13">
        <f t="shared" si="3"/>
        <v>121987000</v>
      </c>
      <c r="R30" s="13">
        <f t="shared" si="4"/>
        <v>130622000</v>
      </c>
      <c r="S30" s="13">
        <f t="shared" si="5"/>
        <v>135940000</v>
      </c>
      <c r="T30" s="13">
        <f t="shared" si="9"/>
        <v>140507000</v>
      </c>
      <c r="U30" s="13">
        <f t="shared" si="6"/>
        <v>145989000</v>
      </c>
      <c r="V30" s="13">
        <f t="shared" si="7"/>
        <v>148863000</v>
      </c>
      <c r="W30" s="13">
        <f t="shared" si="8"/>
        <v>155816000</v>
      </c>
    </row>
    <row r="31" spans="2:23" ht="30" customHeight="1" x14ac:dyDescent="0.2">
      <c r="B31" s="10">
        <f>B30+1</f>
        <v>11</v>
      </c>
      <c r="C31" s="19" t="s">
        <v>36</v>
      </c>
      <c r="D31" s="19" t="s">
        <v>37</v>
      </c>
      <c r="E31" s="55">
        <v>2</v>
      </c>
      <c r="F31" s="11">
        <v>41</v>
      </c>
      <c r="G31" s="12">
        <v>816000</v>
      </c>
      <c r="H31" s="13">
        <f>F31*$H$8+66</f>
        <v>860000</v>
      </c>
      <c r="I31" s="13">
        <f>F31*$I$8-214</f>
        <v>904000</v>
      </c>
      <c r="J31" s="13">
        <f>$F31*$J$8-283</f>
        <v>974000</v>
      </c>
      <c r="K31" s="13">
        <f>$F31*$K$8+245</f>
        <v>1007000</v>
      </c>
      <c r="L31" s="13">
        <f>$F31*$L$8-412</f>
        <v>1030000</v>
      </c>
      <c r="M31" s="13">
        <f t="shared" si="1"/>
        <v>1068489</v>
      </c>
      <c r="N31" s="13">
        <f t="shared" si="11"/>
        <v>1100000</v>
      </c>
      <c r="O31" s="13">
        <f t="shared" si="10"/>
        <v>1127000</v>
      </c>
      <c r="P31" s="13">
        <f t="shared" si="2"/>
        <v>1159000</v>
      </c>
      <c r="Q31" s="13">
        <f t="shared" si="3"/>
        <v>1220000</v>
      </c>
      <c r="R31" s="13">
        <f t="shared" si="4"/>
        <v>1306000</v>
      </c>
      <c r="S31" s="13">
        <f t="shared" si="5"/>
        <v>1359000</v>
      </c>
      <c r="T31" s="13">
        <f t="shared" si="9"/>
        <v>1405000</v>
      </c>
      <c r="U31" s="13">
        <f t="shared" si="6"/>
        <v>1460000</v>
      </c>
      <c r="V31" s="13">
        <f t="shared" si="7"/>
        <v>1489000</v>
      </c>
      <c r="W31" s="13">
        <f t="shared" si="8"/>
        <v>1558000</v>
      </c>
    </row>
    <row r="32" spans="2:23" ht="30" customHeight="1" x14ac:dyDescent="0.2">
      <c r="B32" s="10">
        <f>B31+1</f>
        <v>12</v>
      </c>
      <c r="C32" s="19" t="s">
        <v>38</v>
      </c>
      <c r="D32" s="19" t="s">
        <v>39</v>
      </c>
      <c r="E32" s="55">
        <v>135</v>
      </c>
      <c r="F32" s="14">
        <v>2800</v>
      </c>
      <c r="G32" s="12">
        <v>55080000</v>
      </c>
      <c r="H32" s="13">
        <f>F32*$H$8-200</f>
        <v>58727000</v>
      </c>
      <c r="I32" s="13">
        <f>F32*$I$8-200</f>
        <v>61751000</v>
      </c>
      <c r="J32" s="13">
        <f>$F32*$J$8-400</f>
        <v>66536000</v>
      </c>
      <c r="K32" s="13">
        <f>$F32*$K$8</f>
        <v>68754000</v>
      </c>
      <c r="L32" s="13">
        <f>$F32*$L$8+400</f>
        <v>70370000</v>
      </c>
      <c r="M32" s="13">
        <f t="shared" si="1"/>
        <v>72937680</v>
      </c>
      <c r="N32" s="13">
        <f t="shared" si="11"/>
        <v>75155000</v>
      </c>
      <c r="O32" s="13">
        <f t="shared" si="10"/>
        <v>76958000</v>
      </c>
      <c r="P32" s="13">
        <f t="shared" si="2"/>
        <v>79181000</v>
      </c>
      <c r="Q32" s="13">
        <f t="shared" si="3"/>
        <v>83308000</v>
      </c>
      <c r="R32" s="13">
        <f t="shared" si="4"/>
        <v>89205000</v>
      </c>
      <c r="S32" s="13">
        <f t="shared" si="5"/>
        <v>92837000</v>
      </c>
      <c r="T32" s="13">
        <f t="shared" si="9"/>
        <v>95956000</v>
      </c>
      <c r="U32" s="13">
        <f t="shared" si="6"/>
        <v>99700000</v>
      </c>
      <c r="V32" s="13">
        <f t="shared" si="7"/>
        <v>101662000</v>
      </c>
      <c r="W32" s="13">
        <f t="shared" si="8"/>
        <v>106411000</v>
      </c>
    </row>
    <row r="33" spans="2:23" ht="30" customHeight="1" x14ac:dyDescent="0.2">
      <c r="B33" s="10" t="s">
        <v>0</v>
      </c>
      <c r="C33" s="19" t="s">
        <v>40</v>
      </c>
      <c r="D33" s="19"/>
      <c r="E33" s="55"/>
      <c r="F33" s="11"/>
      <c r="G33" s="9"/>
      <c r="H33" s="9" t="s">
        <v>0</v>
      </c>
      <c r="I33" s="9"/>
      <c r="J33" s="9"/>
      <c r="K33" s="9"/>
      <c r="L33" s="13" t="s">
        <v>0</v>
      </c>
      <c r="M33" s="13" t="s">
        <v>0</v>
      </c>
      <c r="N33" s="13" t="s">
        <v>0</v>
      </c>
      <c r="O33" s="13">
        <f t="shared" si="10"/>
        <v>0</v>
      </c>
      <c r="P33" s="13">
        <f t="shared" si="2"/>
        <v>0</v>
      </c>
      <c r="Q33" s="13" t="s">
        <v>0</v>
      </c>
      <c r="R33" s="13">
        <f t="shared" si="4"/>
        <v>0</v>
      </c>
      <c r="S33" s="13">
        <f t="shared" si="5"/>
        <v>0</v>
      </c>
      <c r="T33" s="13">
        <f t="shared" si="9"/>
        <v>0</v>
      </c>
      <c r="U33" s="13">
        <f t="shared" si="6"/>
        <v>0</v>
      </c>
      <c r="V33" s="13">
        <f t="shared" si="7"/>
        <v>0</v>
      </c>
      <c r="W33" s="13">
        <f t="shared" si="8"/>
        <v>0</v>
      </c>
    </row>
    <row r="34" spans="2:23" ht="30" customHeight="1" x14ac:dyDescent="0.2">
      <c r="B34" s="10">
        <f>B32+1</f>
        <v>13</v>
      </c>
      <c r="C34" s="19" t="s">
        <v>41</v>
      </c>
      <c r="D34" s="19" t="s">
        <v>42</v>
      </c>
      <c r="E34" s="55">
        <v>60</v>
      </c>
      <c r="F34" s="14">
        <v>1200</v>
      </c>
      <c r="G34" s="12">
        <v>24480000</v>
      </c>
      <c r="H34" s="13">
        <f>F34*$H$8+200</f>
        <v>25169000</v>
      </c>
      <c r="I34" s="13">
        <f>F34*$I$8+200</f>
        <v>26465000</v>
      </c>
      <c r="J34" s="13">
        <f>$F34*$J$8+400</f>
        <v>28516000</v>
      </c>
      <c r="K34" s="13">
        <f>$F34*$K$8</f>
        <v>29466000</v>
      </c>
      <c r="L34" s="13">
        <f>$F34*$L$8-400</f>
        <v>30158000</v>
      </c>
      <c r="M34" s="13">
        <f t="shared" si="1"/>
        <v>31259280</v>
      </c>
      <c r="N34" s="13">
        <f t="shared" si="11"/>
        <v>32209000</v>
      </c>
      <c r="O34" s="13">
        <f t="shared" si="10"/>
        <v>32982000</v>
      </c>
      <c r="P34" s="13">
        <f t="shared" si="2"/>
        <v>33935000</v>
      </c>
      <c r="Q34" s="13">
        <f t="shared" si="3"/>
        <v>35704000</v>
      </c>
      <c r="R34" s="13">
        <f t="shared" si="4"/>
        <v>38231000</v>
      </c>
      <c r="S34" s="13">
        <f t="shared" si="5"/>
        <v>39787000</v>
      </c>
      <c r="T34" s="13">
        <f t="shared" si="9"/>
        <v>41124000</v>
      </c>
      <c r="U34" s="13">
        <f t="shared" si="6"/>
        <v>42728000</v>
      </c>
      <c r="V34" s="13">
        <f t="shared" si="7"/>
        <v>43570000</v>
      </c>
      <c r="W34" s="13">
        <f t="shared" si="8"/>
        <v>45605000</v>
      </c>
    </row>
    <row r="35" spans="2:23" ht="30" customHeight="1" x14ac:dyDescent="0.2">
      <c r="B35" s="10">
        <f>B34+1</f>
        <v>14</v>
      </c>
      <c r="C35" s="19" t="s">
        <v>43</v>
      </c>
      <c r="D35" s="19" t="s">
        <v>44</v>
      </c>
      <c r="E35" s="55">
        <v>500</v>
      </c>
      <c r="F35" s="14">
        <v>10000</v>
      </c>
      <c r="G35" s="12">
        <v>204000000</v>
      </c>
      <c r="H35" s="13">
        <f>F35*$H$8</f>
        <v>209740000</v>
      </c>
      <c r="I35" s="13">
        <f>F35*$I$8</f>
        <v>220540000</v>
      </c>
      <c r="J35" s="13">
        <f>$F35*$J$8</f>
        <v>237630000</v>
      </c>
      <c r="K35" s="13">
        <f>$F35*$K$8</f>
        <v>245550000</v>
      </c>
      <c r="L35" s="13">
        <f>$F35*$L$8</f>
        <v>251320000</v>
      </c>
      <c r="M35" s="13">
        <f t="shared" si="1"/>
        <v>260490480</v>
      </c>
      <c r="N35" s="13">
        <f t="shared" si="11"/>
        <v>268410000</v>
      </c>
      <c r="O35" s="13">
        <f t="shared" si="10"/>
        <v>274850000</v>
      </c>
      <c r="P35" s="13">
        <f t="shared" si="2"/>
        <v>282790000</v>
      </c>
      <c r="Q35" s="13">
        <f t="shared" si="3"/>
        <v>297530000</v>
      </c>
      <c r="R35" s="13">
        <f t="shared" si="4"/>
        <v>318590000</v>
      </c>
      <c r="S35" s="13">
        <f t="shared" si="5"/>
        <v>331560000</v>
      </c>
      <c r="T35" s="13">
        <f t="shared" si="9"/>
        <v>342700000</v>
      </c>
      <c r="U35" s="13">
        <f t="shared" si="6"/>
        <v>356070000</v>
      </c>
      <c r="V35" s="13">
        <f t="shared" si="7"/>
        <v>363080000</v>
      </c>
      <c r="W35" s="13">
        <f t="shared" si="8"/>
        <v>380040000</v>
      </c>
    </row>
    <row r="36" spans="2:23" ht="30" customHeight="1" x14ac:dyDescent="0.2">
      <c r="B36" s="9"/>
      <c r="C36" s="19" t="s">
        <v>45</v>
      </c>
      <c r="D36" s="19"/>
      <c r="E36" s="55"/>
      <c r="F36" s="11"/>
      <c r="G36" s="9"/>
      <c r="H36" s="9"/>
      <c r="I36" s="9"/>
      <c r="J36" s="9"/>
      <c r="K36" s="9"/>
      <c r="L36" s="13" t="s">
        <v>0</v>
      </c>
      <c r="M36" s="13" t="s">
        <v>0</v>
      </c>
      <c r="N36" s="13" t="s">
        <v>0</v>
      </c>
      <c r="O36" s="13">
        <f t="shared" si="10"/>
        <v>0</v>
      </c>
      <c r="P36" s="13">
        <f t="shared" si="2"/>
        <v>0</v>
      </c>
      <c r="Q36" s="13" t="s">
        <v>0</v>
      </c>
      <c r="R36" s="13">
        <f t="shared" si="4"/>
        <v>0</v>
      </c>
      <c r="S36" s="13">
        <f t="shared" si="5"/>
        <v>0</v>
      </c>
      <c r="T36" s="13">
        <f t="shared" si="9"/>
        <v>0</v>
      </c>
      <c r="U36" s="13">
        <f t="shared" si="6"/>
        <v>0</v>
      </c>
      <c r="V36" s="13">
        <f t="shared" si="7"/>
        <v>0</v>
      </c>
      <c r="W36" s="13">
        <f t="shared" si="8"/>
        <v>0</v>
      </c>
    </row>
    <row r="37" spans="2:23" ht="30" customHeight="1" x14ac:dyDescent="0.2">
      <c r="B37" s="10">
        <f>B35+1</f>
        <v>15</v>
      </c>
      <c r="C37" s="19" t="s">
        <v>46</v>
      </c>
      <c r="D37" s="19" t="s">
        <v>47</v>
      </c>
      <c r="E37" s="55">
        <v>50</v>
      </c>
      <c r="F37" s="14">
        <v>1000</v>
      </c>
      <c r="G37" s="12">
        <v>20400000</v>
      </c>
      <c r="H37" s="13">
        <f>F37*$H$8</f>
        <v>20974000</v>
      </c>
      <c r="I37" s="13">
        <f>F37*$I$8</f>
        <v>22054000</v>
      </c>
      <c r="J37" s="13">
        <f>$F37*$J$8</f>
        <v>23763000</v>
      </c>
      <c r="K37" s="13">
        <f>$F37*$K$8</f>
        <v>24555000</v>
      </c>
      <c r="L37" s="13">
        <f>$F37*$L$8</f>
        <v>25132000</v>
      </c>
      <c r="M37" s="13">
        <f t="shared" si="1"/>
        <v>26049480</v>
      </c>
      <c r="N37" s="13">
        <f t="shared" si="11"/>
        <v>26841000</v>
      </c>
      <c r="O37" s="13">
        <f t="shared" si="10"/>
        <v>27485000</v>
      </c>
      <c r="P37" s="13">
        <f t="shared" si="2"/>
        <v>28279000</v>
      </c>
      <c r="Q37" s="13">
        <f t="shared" si="3"/>
        <v>29753000</v>
      </c>
      <c r="R37" s="13">
        <f t="shared" si="4"/>
        <v>31859000</v>
      </c>
      <c r="S37" s="13">
        <f t="shared" si="5"/>
        <v>33156000</v>
      </c>
      <c r="T37" s="13">
        <f t="shared" si="9"/>
        <v>34270000</v>
      </c>
      <c r="U37" s="13">
        <f t="shared" si="6"/>
        <v>35607000</v>
      </c>
      <c r="V37" s="13">
        <f t="shared" si="7"/>
        <v>36308000</v>
      </c>
      <c r="W37" s="13">
        <f t="shared" si="8"/>
        <v>38004000</v>
      </c>
    </row>
    <row r="38" spans="2:23" ht="30" customHeight="1" x14ac:dyDescent="0.2">
      <c r="B38" s="9"/>
      <c r="C38" s="19" t="s">
        <v>48</v>
      </c>
      <c r="D38" s="19"/>
      <c r="E38" s="55" t="s">
        <v>0</v>
      </c>
      <c r="F38" s="11"/>
      <c r="G38" s="9"/>
      <c r="H38" s="9"/>
      <c r="I38" s="9"/>
      <c r="J38" s="9"/>
      <c r="K38" s="9"/>
      <c r="L38" s="13" t="s">
        <v>0</v>
      </c>
      <c r="M38" s="13" t="s">
        <v>0</v>
      </c>
      <c r="N38" s="13" t="s">
        <v>0</v>
      </c>
      <c r="O38" s="13">
        <f t="shared" si="10"/>
        <v>0</v>
      </c>
      <c r="P38" s="13">
        <f t="shared" si="2"/>
        <v>0</v>
      </c>
      <c r="Q38" s="13" t="s">
        <v>0</v>
      </c>
      <c r="R38" s="13">
        <f t="shared" si="4"/>
        <v>0</v>
      </c>
      <c r="S38" s="13">
        <f t="shared" si="5"/>
        <v>0</v>
      </c>
      <c r="T38" s="13">
        <f t="shared" si="9"/>
        <v>0</v>
      </c>
      <c r="U38" s="13">
        <f t="shared" si="6"/>
        <v>0</v>
      </c>
      <c r="V38" s="13">
        <f t="shared" si="7"/>
        <v>0</v>
      </c>
      <c r="W38" s="13">
        <f t="shared" si="8"/>
        <v>0</v>
      </c>
    </row>
    <row r="39" spans="2:23" ht="30" customHeight="1" x14ac:dyDescent="0.2">
      <c r="B39" s="10">
        <f>B37+1</f>
        <v>16</v>
      </c>
      <c r="C39" s="19" t="s">
        <v>49</v>
      </c>
      <c r="D39" s="19" t="s">
        <v>50</v>
      </c>
      <c r="E39" s="55">
        <v>120</v>
      </c>
      <c r="F39" s="14">
        <v>2400</v>
      </c>
      <c r="G39" s="12">
        <v>48960000</v>
      </c>
      <c r="H39" s="13">
        <f>F39*$H$8+400</f>
        <v>50338000</v>
      </c>
      <c r="I39" s="13">
        <f>F39*$I$8+400</f>
        <v>52930000</v>
      </c>
      <c r="J39" s="13">
        <f>$F39*$J$8-200</f>
        <v>57031000</v>
      </c>
      <c r="K39" s="13">
        <f>$F39*$K$8</f>
        <v>58932000</v>
      </c>
      <c r="L39" s="13">
        <f>$F39*$L$8+200</f>
        <v>60317000</v>
      </c>
      <c r="M39" s="13">
        <f t="shared" si="1"/>
        <v>62518080</v>
      </c>
      <c r="N39" s="13">
        <f t="shared" si="11"/>
        <v>64418000</v>
      </c>
      <c r="O39" s="13">
        <f t="shared" si="10"/>
        <v>65964000</v>
      </c>
      <c r="P39" s="13">
        <f t="shared" si="2"/>
        <v>67870000</v>
      </c>
      <c r="Q39" s="13">
        <f t="shared" si="3"/>
        <v>71407000</v>
      </c>
      <c r="R39" s="13">
        <f t="shared" si="4"/>
        <v>76462000</v>
      </c>
      <c r="S39" s="13">
        <f t="shared" si="5"/>
        <v>79574000</v>
      </c>
      <c r="T39" s="13">
        <f t="shared" si="9"/>
        <v>82248000</v>
      </c>
      <c r="U39" s="13">
        <f t="shared" si="6"/>
        <v>85457000</v>
      </c>
      <c r="V39" s="13">
        <f t="shared" si="7"/>
        <v>87139000</v>
      </c>
      <c r="W39" s="13">
        <f t="shared" si="8"/>
        <v>91210000</v>
      </c>
    </row>
    <row r="40" spans="2:23" ht="30" customHeight="1" x14ac:dyDescent="0.2">
      <c r="B40" s="9"/>
      <c r="C40" s="19" t="s">
        <v>51</v>
      </c>
      <c r="D40" s="19"/>
      <c r="E40" s="55"/>
      <c r="F40" s="11"/>
      <c r="G40" s="9"/>
      <c r="H40" s="9"/>
      <c r="I40" s="9"/>
      <c r="J40" s="9"/>
      <c r="K40" s="9"/>
      <c r="L40" s="13" t="s">
        <v>0</v>
      </c>
      <c r="M40" s="13" t="s">
        <v>0</v>
      </c>
      <c r="N40" s="13" t="s">
        <v>0</v>
      </c>
      <c r="O40" s="13">
        <f t="shared" si="10"/>
        <v>0</v>
      </c>
      <c r="P40" s="13">
        <f t="shared" si="2"/>
        <v>0</v>
      </c>
      <c r="Q40" s="13">
        <f t="shared" si="3"/>
        <v>0</v>
      </c>
      <c r="R40" s="13">
        <f t="shared" si="4"/>
        <v>0</v>
      </c>
      <c r="S40" s="13">
        <f t="shared" si="5"/>
        <v>0</v>
      </c>
      <c r="T40" s="13">
        <f t="shared" si="9"/>
        <v>0</v>
      </c>
      <c r="U40" s="13">
        <f t="shared" si="6"/>
        <v>0</v>
      </c>
      <c r="V40" s="13">
        <f t="shared" si="7"/>
        <v>0</v>
      </c>
      <c r="W40" s="13">
        <f t="shared" si="8"/>
        <v>0</v>
      </c>
    </row>
    <row r="41" spans="2:23" ht="30" customHeight="1" x14ac:dyDescent="0.2">
      <c r="B41" s="10">
        <f>B39+1</f>
        <v>17</v>
      </c>
      <c r="C41" s="19" t="s">
        <v>52</v>
      </c>
      <c r="D41" s="19" t="s">
        <v>63</v>
      </c>
      <c r="E41" s="55">
        <v>0.5</v>
      </c>
      <c r="F41" s="11">
        <v>10</v>
      </c>
      <c r="G41" s="12">
        <v>204000</v>
      </c>
      <c r="H41" s="13">
        <f>F41*$H$8+260</f>
        <v>210000</v>
      </c>
      <c r="I41" s="13">
        <f>F41*$I$8+460</f>
        <v>221000</v>
      </c>
      <c r="J41" s="13">
        <f>$F41*$J$8+370</f>
        <v>238000</v>
      </c>
      <c r="K41" s="13">
        <f>$F41*$K$8+450</f>
        <v>246000</v>
      </c>
      <c r="L41" s="13">
        <f>$F41*$L$8-320</f>
        <v>251000</v>
      </c>
      <c r="M41" s="13">
        <f t="shared" si="1"/>
        <v>260970</v>
      </c>
      <c r="N41" s="13">
        <f t="shared" si="11"/>
        <v>268000</v>
      </c>
      <c r="O41" s="13">
        <f t="shared" si="10"/>
        <v>275000</v>
      </c>
      <c r="P41" s="13">
        <f t="shared" si="2"/>
        <v>283000</v>
      </c>
      <c r="Q41" s="13">
        <f t="shared" si="3"/>
        <v>298000</v>
      </c>
      <c r="R41" s="13">
        <f t="shared" si="4"/>
        <v>319000</v>
      </c>
      <c r="S41" s="13">
        <f t="shared" si="5"/>
        <v>332000</v>
      </c>
      <c r="T41" s="13">
        <f t="shared" si="9"/>
        <v>343000</v>
      </c>
      <c r="U41" s="13">
        <f t="shared" si="6"/>
        <v>356000</v>
      </c>
      <c r="V41" s="13">
        <f t="shared" si="7"/>
        <v>363000</v>
      </c>
      <c r="W41" s="13">
        <f t="shared" si="8"/>
        <v>380000</v>
      </c>
    </row>
    <row r="42" spans="2:23" ht="30" customHeight="1" x14ac:dyDescent="0.2">
      <c r="B42" s="9"/>
      <c r="C42" s="19" t="s">
        <v>64</v>
      </c>
      <c r="D42" s="19"/>
      <c r="E42" s="55"/>
      <c r="F42" s="11"/>
      <c r="G42" s="9"/>
      <c r="H42" s="9"/>
      <c r="I42" s="9"/>
      <c r="J42" s="9"/>
      <c r="K42" s="9"/>
      <c r="L42" s="13" t="s">
        <v>0</v>
      </c>
      <c r="M42" s="13" t="s">
        <v>0</v>
      </c>
      <c r="N42" s="13" t="s">
        <v>0</v>
      </c>
      <c r="O42" s="13">
        <f t="shared" si="10"/>
        <v>0</v>
      </c>
      <c r="P42" s="13">
        <f t="shared" si="2"/>
        <v>0</v>
      </c>
      <c r="Q42" s="13" t="s">
        <v>0</v>
      </c>
      <c r="R42" s="13">
        <f t="shared" si="4"/>
        <v>0</v>
      </c>
      <c r="S42" s="13">
        <f t="shared" si="5"/>
        <v>0</v>
      </c>
      <c r="T42" s="13">
        <f t="shared" si="9"/>
        <v>0</v>
      </c>
      <c r="U42" s="13">
        <f t="shared" si="6"/>
        <v>0</v>
      </c>
      <c r="V42" s="13">
        <f t="shared" si="7"/>
        <v>0</v>
      </c>
      <c r="W42" s="13">
        <f t="shared" si="8"/>
        <v>0</v>
      </c>
    </row>
    <row r="43" spans="2:23" ht="30" customHeight="1" x14ac:dyDescent="0.2">
      <c r="B43" s="10">
        <f>B41+1</f>
        <v>18</v>
      </c>
      <c r="C43" s="19" t="s">
        <v>65</v>
      </c>
      <c r="D43" s="19" t="s">
        <v>66</v>
      </c>
      <c r="E43" s="55">
        <v>7</v>
      </c>
      <c r="F43" s="11">
        <v>140</v>
      </c>
      <c r="G43" s="12">
        <v>2856000</v>
      </c>
      <c r="H43" s="13">
        <f>F43*$H$8-360</f>
        <v>2936000</v>
      </c>
      <c r="I43" s="13">
        <f>F43*$I$8+440</f>
        <v>3088000</v>
      </c>
      <c r="J43" s="13">
        <f>$F43*$J$8+180</f>
        <v>3327000</v>
      </c>
      <c r="K43" s="13">
        <f>$F43*$K$8+300</f>
        <v>3438000</v>
      </c>
      <c r="L43" s="13">
        <f>$F43*$L$8-480</f>
        <v>3518000</v>
      </c>
      <c r="M43" s="13">
        <f t="shared" si="1"/>
        <v>3647340</v>
      </c>
      <c r="N43" s="13">
        <f t="shared" si="11"/>
        <v>3758000</v>
      </c>
      <c r="O43" s="13">
        <f t="shared" si="10"/>
        <v>3848000</v>
      </c>
      <c r="P43" s="13">
        <f t="shared" si="2"/>
        <v>3959000</v>
      </c>
      <c r="Q43" s="13">
        <f t="shared" si="3"/>
        <v>4165000</v>
      </c>
      <c r="R43" s="13">
        <f t="shared" si="4"/>
        <v>4460000</v>
      </c>
      <c r="S43" s="13">
        <f t="shared" si="5"/>
        <v>4642000</v>
      </c>
      <c r="T43" s="13">
        <f t="shared" si="9"/>
        <v>4798000</v>
      </c>
      <c r="U43" s="13">
        <f t="shared" si="6"/>
        <v>4985000</v>
      </c>
      <c r="V43" s="13">
        <f t="shared" si="7"/>
        <v>5083000</v>
      </c>
      <c r="W43" s="13">
        <f t="shared" si="8"/>
        <v>5321000</v>
      </c>
    </row>
    <row r="44" spans="2:23" ht="30" customHeight="1" x14ac:dyDescent="0.2">
      <c r="B44" s="10" t="s">
        <v>0</v>
      </c>
      <c r="C44" s="19" t="s">
        <v>67</v>
      </c>
      <c r="D44" s="19"/>
      <c r="E44" s="55"/>
      <c r="F44" s="11"/>
      <c r="G44" s="9"/>
      <c r="H44" s="9"/>
      <c r="I44" s="9"/>
      <c r="J44" s="9"/>
      <c r="K44" s="9"/>
      <c r="L44" s="13" t="s">
        <v>0</v>
      </c>
      <c r="M44" s="13" t="s">
        <v>0</v>
      </c>
      <c r="N44" s="13" t="s">
        <v>0</v>
      </c>
      <c r="O44" s="13">
        <f t="shared" si="10"/>
        <v>0</v>
      </c>
      <c r="P44" s="13">
        <f t="shared" si="2"/>
        <v>0</v>
      </c>
      <c r="Q44" s="13" t="s">
        <v>0</v>
      </c>
      <c r="R44" s="13">
        <f t="shared" si="4"/>
        <v>0</v>
      </c>
      <c r="S44" s="13">
        <f t="shared" si="5"/>
        <v>0</v>
      </c>
      <c r="T44" s="13">
        <f t="shared" si="9"/>
        <v>0</v>
      </c>
      <c r="U44" s="13">
        <f t="shared" si="6"/>
        <v>0</v>
      </c>
      <c r="V44" s="13">
        <f t="shared" si="7"/>
        <v>0</v>
      </c>
      <c r="W44" s="13">
        <f t="shared" si="8"/>
        <v>0</v>
      </c>
    </row>
    <row r="45" spans="2:23" ht="30" customHeight="1" x14ac:dyDescent="0.2">
      <c r="B45" s="10">
        <f>B43+1</f>
        <v>19</v>
      </c>
      <c r="C45" s="19" t="s">
        <v>68</v>
      </c>
      <c r="D45" s="19" t="s">
        <v>69</v>
      </c>
      <c r="E45" s="55">
        <v>2</v>
      </c>
      <c r="F45" s="11">
        <v>41</v>
      </c>
      <c r="G45" s="12">
        <v>816000</v>
      </c>
      <c r="H45" s="13">
        <f>F45*$H$8+66</f>
        <v>860000</v>
      </c>
      <c r="I45" s="13">
        <f>F45*$I$8-214</f>
        <v>904000</v>
      </c>
      <c r="J45" s="13">
        <f>$F45*$J$8-283</f>
        <v>974000</v>
      </c>
      <c r="K45" s="13">
        <f>$F45*$K$8+245</f>
        <v>1007000</v>
      </c>
      <c r="L45" s="13">
        <f>$F45*$L$8-412</f>
        <v>1030000</v>
      </c>
      <c r="M45" s="13">
        <f t="shared" si="1"/>
        <v>1068489</v>
      </c>
      <c r="N45" s="13">
        <f t="shared" si="11"/>
        <v>1100000</v>
      </c>
      <c r="O45" s="13">
        <f t="shared" si="10"/>
        <v>1127000</v>
      </c>
      <c r="P45" s="13">
        <f t="shared" si="2"/>
        <v>1159000</v>
      </c>
      <c r="Q45" s="13">
        <f t="shared" si="3"/>
        <v>1220000</v>
      </c>
      <c r="R45" s="13">
        <f t="shared" si="4"/>
        <v>1306000</v>
      </c>
      <c r="S45" s="13">
        <f t="shared" si="5"/>
        <v>1359000</v>
      </c>
      <c r="T45" s="13">
        <f t="shared" si="9"/>
        <v>1405000</v>
      </c>
      <c r="U45" s="13">
        <f t="shared" si="6"/>
        <v>1460000</v>
      </c>
      <c r="V45" s="13">
        <f t="shared" si="7"/>
        <v>1489000</v>
      </c>
      <c r="W45" s="13">
        <f t="shared" si="8"/>
        <v>1558000</v>
      </c>
    </row>
    <row r="46" spans="2:23" ht="30" customHeight="1" x14ac:dyDescent="0.2">
      <c r="B46" s="9"/>
      <c r="C46" s="19" t="s">
        <v>70</v>
      </c>
      <c r="D46" s="19"/>
      <c r="E46" s="55"/>
      <c r="F46" s="11"/>
      <c r="G46" s="9"/>
      <c r="H46" s="9"/>
      <c r="I46" s="9"/>
      <c r="J46" s="9"/>
      <c r="K46" s="9"/>
      <c r="L46" s="13" t="s">
        <v>0</v>
      </c>
      <c r="M46" s="13" t="s">
        <v>0</v>
      </c>
      <c r="N46" s="13" t="s">
        <v>0</v>
      </c>
      <c r="O46" s="13">
        <f t="shared" si="10"/>
        <v>0</v>
      </c>
      <c r="P46" s="13">
        <f t="shared" si="2"/>
        <v>0</v>
      </c>
      <c r="Q46" s="13" t="s">
        <v>0</v>
      </c>
      <c r="R46" s="13">
        <f t="shared" si="4"/>
        <v>0</v>
      </c>
      <c r="S46" s="13">
        <f t="shared" si="5"/>
        <v>0</v>
      </c>
      <c r="T46" s="13">
        <f t="shared" si="9"/>
        <v>0</v>
      </c>
      <c r="U46" s="13">
        <f t="shared" si="6"/>
        <v>0</v>
      </c>
      <c r="V46" s="13">
        <f t="shared" si="7"/>
        <v>0</v>
      </c>
      <c r="W46" s="13">
        <f t="shared" si="8"/>
        <v>0</v>
      </c>
    </row>
    <row r="47" spans="2:23" ht="30" customHeight="1" x14ac:dyDescent="0.2">
      <c r="B47" s="10">
        <f>B45+1</f>
        <v>20</v>
      </c>
      <c r="C47" s="19" t="s">
        <v>71</v>
      </c>
      <c r="D47" s="19" t="s">
        <v>72</v>
      </c>
      <c r="E47" s="56">
        <v>50000</v>
      </c>
      <c r="F47" s="14">
        <v>1020000</v>
      </c>
      <c r="G47" s="12">
        <v>20400000000</v>
      </c>
      <c r="H47" s="13">
        <f>F47*$H$8</f>
        <v>21393480000</v>
      </c>
      <c r="I47" s="13">
        <f>F47*$I$8</f>
        <v>22495080000</v>
      </c>
      <c r="J47" s="13">
        <f>$F47*$J$8</f>
        <v>24238260000</v>
      </c>
      <c r="K47" s="13">
        <f>$F47*$K$8</f>
        <v>25046100000</v>
      </c>
      <c r="L47" s="13">
        <f>$F47*$L$8</f>
        <v>25634640000</v>
      </c>
      <c r="M47" s="13">
        <f t="shared" si="1"/>
        <v>26569980480</v>
      </c>
      <c r="N47" s="13">
        <f t="shared" si="11"/>
        <v>27377820000</v>
      </c>
      <c r="O47" s="13">
        <f t="shared" si="10"/>
        <v>28034700000</v>
      </c>
      <c r="P47" s="13">
        <f t="shared" si="2"/>
        <v>28844580000</v>
      </c>
      <c r="Q47" s="13">
        <f t="shared" si="3"/>
        <v>30348060000</v>
      </c>
      <c r="R47" s="13">
        <f t="shared" si="4"/>
        <v>32496180000</v>
      </c>
      <c r="S47" s="13">
        <f t="shared" si="5"/>
        <v>33819120000</v>
      </c>
      <c r="T47" s="13">
        <f t="shared" si="9"/>
        <v>34955400000</v>
      </c>
      <c r="U47" s="13">
        <f t="shared" si="6"/>
        <v>36319140000</v>
      </c>
      <c r="V47" s="13">
        <f t="shared" si="7"/>
        <v>37034160000</v>
      </c>
      <c r="W47" s="13">
        <f t="shared" si="8"/>
        <v>38764080000</v>
      </c>
    </row>
    <row r="48" spans="2:23" ht="30" customHeight="1" x14ac:dyDescent="0.2">
      <c r="B48" s="10">
        <f>B47+1</f>
        <v>21</v>
      </c>
      <c r="C48" s="19" t="s">
        <v>73</v>
      </c>
      <c r="D48" s="19" t="s">
        <v>74</v>
      </c>
      <c r="E48" s="55">
        <v>50</v>
      </c>
      <c r="F48" s="14">
        <v>1000</v>
      </c>
      <c r="G48" s="12">
        <v>20400000</v>
      </c>
      <c r="H48" s="13">
        <f>F48*$H$8</f>
        <v>20974000</v>
      </c>
      <c r="I48" s="13">
        <f>F48*$I$8</f>
        <v>22054000</v>
      </c>
      <c r="J48" s="13">
        <f>$F48*$J$8</f>
        <v>23763000</v>
      </c>
      <c r="K48" s="13">
        <f>$F48*$K$8</f>
        <v>24555000</v>
      </c>
      <c r="L48" s="13">
        <f>$F48*$L$8</f>
        <v>25132000</v>
      </c>
      <c r="M48" s="13">
        <f t="shared" si="1"/>
        <v>26049480</v>
      </c>
      <c r="N48" s="13">
        <f t="shared" si="11"/>
        <v>26841000</v>
      </c>
      <c r="O48" s="13">
        <f t="shared" si="10"/>
        <v>27485000</v>
      </c>
      <c r="P48" s="13">
        <f t="shared" si="2"/>
        <v>28279000</v>
      </c>
      <c r="Q48" s="13">
        <f t="shared" si="3"/>
        <v>29753000</v>
      </c>
      <c r="R48" s="13">
        <f t="shared" si="4"/>
        <v>31859000</v>
      </c>
      <c r="S48" s="13">
        <f t="shared" si="5"/>
        <v>33156000</v>
      </c>
      <c r="T48" s="13">
        <f t="shared" si="9"/>
        <v>34270000</v>
      </c>
      <c r="U48" s="13">
        <f t="shared" si="6"/>
        <v>35607000</v>
      </c>
      <c r="V48" s="13">
        <f t="shared" si="7"/>
        <v>36308000</v>
      </c>
      <c r="W48" s="13">
        <f t="shared" si="8"/>
        <v>38004000</v>
      </c>
    </row>
    <row r="49" spans="2:23" ht="30" customHeight="1" x14ac:dyDescent="0.2">
      <c r="B49" s="10" t="s">
        <v>0</v>
      </c>
      <c r="C49" s="19" t="s">
        <v>75</v>
      </c>
      <c r="D49" s="19" t="s">
        <v>76</v>
      </c>
      <c r="E49" s="55">
        <v>200</v>
      </c>
      <c r="F49" s="14">
        <v>4100</v>
      </c>
      <c r="G49" s="16">
        <v>81600000</v>
      </c>
      <c r="H49" s="13">
        <f>F49*$H$8-400</f>
        <v>85993000</v>
      </c>
      <c r="I49" s="13">
        <f>F49*$I$8-400</f>
        <v>90421000</v>
      </c>
      <c r="J49" s="13">
        <f>$F49*$J$8-300</f>
        <v>97428000</v>
      </c>
      <c r="K49" s="13">
        <f>$F49*$K$8+500</f>
        <v>100676000</v>
      </c>
      <c r="L49" s="13">
        <f>$F49*$L$8-200</f>
        <v>103041000</v>
      </c>
      <c r="M49" s="13">
        <f t="shared" si="1"/>
        <v>106801380</v>
      </c>
      <c r="N49" s="13">
        <f t="shared" si="11"/>
        <v>110048000</v>
      </c>
      <c r="O49" s="13">
        <f t="shared" si="10"/>
        <v>112689000</v>
      </c>
      <c r="P49" s="13">
        <f t="shared" si="2"/>
        <v>115944000</v>
      </c>
      <c r="Q49" s="13">
        <f t="shared" si="3"/>
        <v>121987000</v>
      </c>
      <c r="R49" s="13">
        <f t="shared" si="4"/>
        <v>130622000</v>
      </c>
      <c r="S49" s="13">
        <f t="shared" si="5"/>
        <v>135940000</v>
      </c>
      <c r="T49" s="13">
        <f t="shared" si="9"/>
        <v>140507000</v>
      </c>
      <c r="U49" s="13">
        <f t="shared" si="6"/>
        <v>145989000</v>
      </c>
      <c r="V49" s="13">
        <f t="shared" si="7"/>
        <v>148863000</v>
      </c>
      <c r="W49" s="13">
        <f t="shared" si="8"/>
        <v>155816000</v>
      </c>
    </row>
    <row r="50" spans="2:23" ht="30" customHeight="1" x14ac:dyDescent="0.2">
      <c r="B50" s="10" t="s">
        <v>0</v>
      </c>
      <c r="C50" s="19" t="s">
        <v>77</v>
      </c>
      <c r="D50" s="19" t="s">
        <v>76</v>
      </c>
      <c r="E50" s="56">
        <v>50000</v>
      </c>
      <c r="F50" s="14">
        <v>1020000</v>
      </c>
      <c r="G50" s="16">
        <v>20400000000</v>
      </c>
      <c r="H50" s="13">
        <f>F50*$H$8</f>
        <v>21393480000</v>
      </c>
      <c r="I50" s="13">
        <f>F50*$I$8</f>
        <v>22495080000</v>
      </c>
      <c r="J50" s="13">
        <f>$F50*$J$8</f>
        <v>24238260000</v>
      </c>
      <c r="K50" s="13">
        <f>$F50*$K$8</f>
        <v>25046100000</v>
      </c>
      <c r="L50" s="13">
        <f>$F50*$L$8</f>
        <v>25634640000</v>
      </c>
      <c r="M50" s="13">
        <f t="shared" si="1"/>
        <v>26569980480</v>
      </c>
      <c r="N50" s="13">
        <f t="shared" si="11"/>
        <v>27377820000</v>
      </c>
      <c r="O50" s="13">
        <f t="shared" si="10"/>
        <v>28034700000</v>
      </c>
      <c r="P50" s="13">
        <f t="shared" si="2"/>
        <v>28844580000</v>
      </c>
      <c r="Q50" s="13">
        <f t="shared" si="3"/>
        <v>30348060000</v>
      </c>
      <c r="R50" s="13">
        <f t="shared" si="4"/>
        <v>32496180000</v>
      </c>
      <c r="S50" s="13">
        <f t="shared" si="5"/>
        <v>33819120000</v>
      </c>
      <c r="T50" s="13">
        <f t="shared" si="9"/>
        <v>34955400000</v>
      </c>
      <c r="U50" s="13">
        <f t="shared" si="6"/>
        <v>36319140000</v>
      </c>
      <c r="V50" s="13">
        <f t="shared" si="7"/>
        <v>37034160000</v>
      </c>
      <c r="W50" s="13">
        <f t="shared" si="8"/>
        <v>38764080000</v>
      </c>
    </row>
    <row r="51" spans="2:23" ht="30" customHeight="1" x14ac:dyDescent="0.2">
      <c r="B51" s="10">
        <f>B48+1</f>
        <v>22</v>
      </c>
      <c r="C51" s="19" t="s">
        <v>78</v>
      </c>
      <c r="D51" s="19" t="s">
        <v>79</v>
      </c>
      <c r="E51" s="55">
        <v>300</v>
      </c>
      <c r="F51" s="14">
        <v>6100</v>
      </c>
      <c r="G51" s="16">
        <v>122400000</v>
      </c>
      <c r="H51" s="13">
        <f>F51*$H$8-400</f>
        <v>127941000</v>
      </c>
      <c r="I51" s="13">
        <f>F51*$I$8-400</f>
        <v>134529000</v>
      </c>
      <c r="J51" s="13">
        <f>$F51*$J$8-300</f>
        <v>144954000</v>
      </c>
      <c r="K51" s="13">
        <f>$F51*$K$8+500</f>
        <v>149786000</v>
      </c>
      <c r="L51" s="13">
        <f>$F51*$L$8-200</f>
        <v>153305000</v>
      </c>
      <c r="M51" s="13">
        <f t="shared" si="1"/>
        <v>158899380</v>
      </c>
      <c r="N51" s="13">
        <f t="shared" si="11"/>
        <v>163730000</v>
      </c>
      <c r="O51" s="13">
        <f t="shared" si="10"/>
        <v>167659000</v>
      </c>
      <c r="P51" s="13">
        <f t="shared" si="2"/>
        <v>172502000</v>
      </c>
      <c r="Q51" s="13">
        <f t="shared" si="3"/>
        <v>181493000</v>
      </c>
      <c r="R51" s="13">
        <f t="shared" si="4"/>
        <v>194340000</v>
      </c>
      <c r="S51" s="13">
        <f t="shared" si="5"/>
        <v>202252000</v>
      </c>
      <c r="T51" s="13">
        <f t="shared" si="9"/>
        <v>209047000</v>
      </c>
      <c r="U51" s="13">
        <f t="shared" si="6"/>
        <v>217203000</v>
      </c>
      <c r="V51" s="13">
        <f t="shared" si="7"/>
        <v>221479000</v>
      </c>
      <c r="W51" s="13">
        <f t="shared" si="8"/>
        <v>231824000</v>
      </c>
    </row>
    <row r="52" spans="2:23" ht="30" customHeight="1" x14ac:dyDescent="0.2">
      <c r="B52" s="10"/>
      <c r="C52" s="19" t="s">
        <v>80</v>
      </c>
      <c r="D52" s="19" t="s">
        <v>79</v>
      </c>
      <c r="E52" s="56">
        <v>1500</v>
      </c>
      <c r="F52" s="14">
        <v>31000</v>
      </c>
      <c r="G52" s="16">
        <v>612000000</v>
      </c>
      <c r="H52" s="13">
        <f>F52*$H$8</f>
        <v>650194000</v>
      </c>
      <c r="I52" s="13">
        <f>F52*$I$8</f>
        <v>683674000</v>
      </c>
      <c r="J52" s="13">
        <f>$F52*$J$8</f>
        <v>736653000</v>
      </c>
      <c r="K52" s="13">
        <f>$F52*$K$8</f>
        <v>761205000</v>
      </c>
      <c r="L52" s="13">
        <f>$F52*$L$8</f>
        <v>779092000</v>
      </c>
      <c r="M52" s="13">
        <f t="shared" si="1"/>
        <v>807519480</v>
      </c>
      <c r="N52" s="13">
        <f t="shared" si="11"/>
        <v>832071000</v>
      </c>
      <c r="O52" s="13">
        <f t="shared" si="10"/>
        <v>852035000</v>
      </c>
      <c r="P52" s="13">
        <f t="shared" si="2"/>
        <v>876649000</v>
      </c>
      <c r="Q52" s="13">
        <f t="shared" si="3"/>
        <v>922343000</v>
      </c>
      <c r="R52" s="13">
        <f t="shared" si="4"/>
        <v>987629000</v>
      </c>
      <c r="S52" s="13">
        <f t="shared" si="5"/>
        <v>1027836000</v>
      </c>
      <c r="T52" s="13">
        <f t="shared" si="9"/>
        <v>1062370000</v>
      </c>
      <c r="U52" s="13">
        <f t="shared" si="6"/>
        <v>1103817000</v>
      </c>
      <c r="V52" s="13">
        <f t="shared" si="7"/>
        <v>1125548000</v>
      </c>
      <c r="W52" s="13">
        <f t="shared" si="8"/>
        <v>1178124000</v>
      </c>
    </row>
    <row r="53" spans="2:23" ht="30" customHeight="1" x14ac:dyDescent="0.2">
      <c r="B53" s="10">
        <f>B51+1</f>
        <v>23</v>
      </c>
      <c r="C53" s="19" t="s">
        <v>81</v>
      </c>
      <c r="D53" s="19" t="s">
        <v>82</v>
      </c>
      <c r="E53" s="56">
        <v>50000</v>
      </c>
      <c r="F53" s="14">
        <v>1020000</v>
      </c>
      <c r="G53" s="12">
        <v>20400000000</v>
      </c>
      <c r="H53" s="13">
        <f>F53*$H$8</f>
        <v>21393480000</v>
      </c>
      <c r="I53" s="13">
        <f>F53*$I$8</f>
        <v>22495080000</v>
      </c>
      <c r="J53" s="13">
        <f>$F53*$J$8</f>
        <v>24238260000</v>
      </c>
      <c r="K53" s="13">
        <f>$F53*$K$8</f>
        <v>25046100000</v>
      </c>
      <c r="L53" s="13">
        <f>$F53*$L$8</f>
        <v>25634640000</v>
      </c>
      <c r="M53" s="13">
        <f t="shared" si="1"/>
        <v>26569980480</v>
      </c>
      <c r="N53" s="13">
        <f t="shared" si="11"/>
        <v>27377820000</v>
      </c>
      <c r="O53" s="13">
        <f t="shared" si="10"/>
        <v>28034700000</v>
      </c>
      <c r="P53" s="13">
        <f t="shared" si="2"/>
        <v>28844580000</v>
      </c>
      <c r="Q53" s="13">
        <f t="shared" si="3"/>
        <v>30348060000</v>
      </c>
      <c r="R53" s="13">
        <f t="shared" si="4"/>
        <v>32496180000</v>
      </c>
      <c r="S53" s="13">
        <f t="shared" si="5"/>
        <v>33819120000</v>
      </c>
      <c r="T53" s="13">
        <f t="shared" si="9"/>
        <v>34955400000</v>
      </c>
      <c r="U53" s="13">
        <f t="shared" si="6"/>
        <v>36319140000</v>
      </c>
      <c r="V53" s="13">
        <f t="shared" si="7"/>
        <v>37034160000</v>
      </c>
      <c r="W53" s="13">
        <f t="shared" si="8"/>
        <v>38764080000</v>
      </c>
    </row>
    <row r="54" spans="2:23" ht="30" customHeight="1" x14ac:dyDescent="0.2">
      <c r="B54" s="9"/>
      <c r="C54" s="19" t="s">
        <v>83</v>
      </c>
      <c r="D54" s="19"/>
      <c r="E54" s="55"/>
      <c r="F54" s="11"/>
      <c r="G54" s="9"/>
      <c r="H54" s="9"/>
      <c r="I54" s="9"/>
      <c r="J54" s="9"/>
      <c r="K54" s="9"/>
      <c r="L54" s="13" t="s">
        <v>0</v>
      </c>
      <c r="M54" s="13" t="s">
        <v>0</v>
      </c>
      <c r="N54" s="13" t="s">
        <v>0</v>
      </c>
      <c r="O54" s="13">
        <f t="shared" si="10"/>
        <v>0</v>
      </c>
      <c r="P54" s="13">
        <f t="shared" si="2"/>
        <v>0</v>
      </c>
      <c r="Q54" s="13">
        <f t="shared" si="3"/>
        <v>0</v>
      </c>
      <c r="R54" s="13">
        <f t="shared" si="4"/>
        <v>0</v>
      </c>
      <c r="S54" s="13">
        <f t="shared" si="5"/>
        <v>0</v>
      </c>
      <c r="T54" s="13">
        <f t="shared" si="9"/>
        <v>0</v>
      </c>
      <c r="U54" s="13">
        <f t="shared" si="6"/>
        <v>0</v>
      </c>
      <c r="V54" s="13">
        <f t="shared" si="7"/>
        <v>0</v>
      </c>
      <c r="W54" s="13">
        <f t="shared" si="8"/>
        <v>0</v>
      </c>
    </row>
    <row r="55" spans="2:23" ht="30" customHeight="1" x14ac:dyDescent="0.2">
      <c r="B55" s="10">
        <f>B53+1</f>
        <v>24</v>
      </c>
      <c r="C55" s="19" t="s">
        <v>84</v>
      </c>
      <c r="D55" s="19" t="s">
        <v>85</v>
      </c>
      <c r="E55" s="55">
        <v>2</v>
      </c>
      <c r="F55" s="11">
        <v>41</v>
      </c>
      <c r="G55" s="12">
        <v>816000</v>
      </c>
      <c r="H55" s="13">
        <f>F55*$H$8+66</f>
        <v>860000</v>
      </c>
      <c r="I55" s="13">
        <f>F55*$I$8-214</f>
        <v>904000</v>
      </c>
      <c r="J55" s="13">
        <f>$F55*$J$8-283</f>
        <v>974000</v>
      </c>
      <c r="K55" s="13">
        <f>$F55*$K$8+245</f>
        <v>1007000</v>
      </c>
      <c r="L55" s="13">
        <f>$F55*$L$8-412</f>
        <v>1030000</v>
      </c>
      <c r="M55" s="13">
        <f t="shared" si="1"/>
        <v>1068489</v>
      </c>
      <c r="N55" s="13">
        <f t="shared" si="11"/>
        <v>1100000</v>
      </c>
      <c r="O55" s="13">
        <f t="shared" si="10"/>
        <v>1127000</v>
      </c>
      <c r="P55" s="13">
        <f t="shared" si="2"/>
        <v>1159000</v>
      </c>
      <c r="Q55" s="13">
        <f t="shared" si="3"/>
        <v>1220000</v>
      </c>
      <c r="R55" s="13">
        <f t="shared" si="4"/>
        <v>1306000</v>
      </c>
      <c r="S55" s="13">
        <f t="shared" si="5"/>
        <v>1359000</v>
      </c>
      <c r="T55" s="13">
        <f t="shared" si="9"/>
        <v>1405000</v>
      </c>
      <c r="U55" s="13">
        <f t="shared" si="6"/>
        <v>1460000</v>
      </c>
      <c r="V55" s="13">
        <f t="shared" si="7"/>
        <v>1489000</v>
      </c>
      <c r="W55" s="13">
        <f t="shared" si="8"/>
        <v>1558000</v>
      </c>
    </row>
    <row r="56" spans="2:23" ht="30" customHeight="1" x14ac:dyDescent="0.2">
      <c r="B56" s="9"/>
      <c r="C56" s="19" t="s">
        <v>86</v>
      </c>
      <c r="D56" s="19"/>
      <c r="E56" s="55"/>
      <c r="F56" s="11"/>
      <c r="G56" s="9"/>
      <c r="H56" s="9"/>
      <c r="I56" s="9"/>
      <c r="J56" s="9"/>
      <c r="K56" s="9"/>
      <c r="L56" s="13" t="s">
        <v>0</v>
      </c>
      <c r="M56" s="13" t="s">
        <v>0</v>
      </c>
      <c r="N56" s="13" t="s">
        <v>0</v>
      </c>
      <c r="O56" s="13">
        <f t="shared" si="10"/>
        <v>0</v>
      </c>
      <c r="P56" s="13">
        <f t="shared" si="2"/>
        <v>0</v>
      </c>
      <c r="Q56" s="13" t="s">
        <v>0</v>
      </c>
      <c r="R56" s="13">
        <f t="shared" si="4"/>
        <v>0</v>
      </c>
      <c r="S56" s="13">
        <f t="shared" si="5"/>
        <v>0</v>
      </c>
      <c r="T56" s="13">
        <f t="shared" si="9"/>
        <v>0</v>
      </c>
      <c r="U56" s="13">
        <f t="shared" si="6"/>
        <v>0</v>
      </c>
      <c r="V56" s="13">
        <f t="shared" si="7"/>
        <v>0</v>
      </c>
      <c r="W56" s="13">
        <f t="shared" si="8"/>
        <v>0</v>
      </c>
    </row>
    <row r="57" spans="2:23" ht="30" customHeight="1" x14ac:dyDescent="0.2">
      <c r="B57" s="10">
        <f>B55+1</f>
        <v>25</v>
      </c>
      <c r="C57" s="19" t="s">
        <v>87</v>
      </c>
      <c r="D57" s="19" t="s">
        <v>88</v>
      </c>
      <c r="E57" s="55">
        <v>2</v>
      </c>
      <c r="F57" s="11">
        <v>41</v>
      </c>
      <c r="G57" s="12">
        <v>816000</v>
      </c>
      <c r="H57" s="13">
        <f>F57*$H$8+66</f>
        <v>860000</v>
      </c>
      <c r="I57" s="13">
        <f>F57*$I$8-214</f>
        <v>904000</v>
      </c>
      <c r="J57" s="13">
        <f>$F57*$J$8-283</f>
        <v>974000</v>
      </c>
      <c r="K57" s="13">
        <f>$F57*$K$8+245</f>
        <v>1007000</v>
      </c>
      <c r="L57" s="13">
        <f>$F57*$L$8-412</f>
        <v>1030000</v>
      </c>
      <c r="M57" s="13">
        <f t="shared" si="1"/>
        <v>1068489</v>
      </c>
      <c r="N57" s="13">
        <f t="shared" si="11"/>
        <v>1100000</v>
      </c>
      <c r="O57" s="13">
        <f t="shared" si="10"/>
        <v>1127000</v>
      </c>
      <c r="P57" s="13">
        <f t="shared" si="2"/>
        <v>1159000</v>
      </c>
      <c r="Q57" s="13">
        <f t="shared" si="3"/>
        <v>1220000</v>
      </c>
      <c r="R57" s="13">
        <f t="shared" si="4"/>
        <v>1306000</v>
      </c>
      <c r="S57" s="13">
        <f t="shared" si="5"/>
        <v>1359000</v>
      </c>
      <c r="T57" s="13">
        <f t="shared" si="9"/>
        <v>1405000</v>
      </c>
      <c r="U57" s="13">
        <f t="shared" si="6"/>
        <v>1460000</v>
      </c>
      <c r="V57" s="13">
        <f t="shared" si="7"/>
        <v>1489000</v>
      </c>
      <c r="W57" s="13">
        <f t="shared" si="8"/>
        <v>1558000</v>
      </c>
    </row>
    <row r="58" spans="2:23" ht="30" customHeight="1" x14ac:dyDescent="0.2">
      <c r="B58" s="10">
        <f>B57+1</f>
        <v>26</v>
      </c>
      <c r="C58" s="19" t="s">
        <v>89</v>
      </c>
      <c r="D58" s="19" t="s">
        <v>90</v>
      </c>
      <c r="E58" s="55">
        <v>2</v>
      </c>
      <c r="F58" s="11">
        <v>41</v>
      </c>
      <c r="G58" s="12">
        <v>816000</v>
      </c>
      <c r="H58" s="13">
        <f>F58*$H$8+66</f>
        <v>860000</v>
      </c>
      <c r="I58" s="13">
        <f>F58*$I$8-214</f>
        <v>904000</v>
      </c>
      <c r="J58" s="13">
        <f>$F58*$J$8-283</f>
        <v>974000</v>
      </c>
      <c r="K58" s="13">
        <f>$F58*$K$8+245</f>
        <v>1007000</v>
      </c>
      <c r="L58" s="13">
        <f>$F58*$L$8-412</f>
        <v>1030000</v>
      </c>
      <c r="M58" s="13">
        <f t="shared" si="1"/>
        <v>1068489</v>
      </c>
      <c r="N58" s="13">
        <f t="shared" si="11"/>
        <v>1100000</v>
      </c>
      <c r="O58" s="13">
        <f t="shared" si="10"/>
        <v>1127000</v>
      </c>
      <c r="P58" s="13">
        <f t="shared" si="2"/>
        <v>1159000</v>
      </c>
      <c r="Q58" s="13">
        <f t="shared" si="3"/>
        <v>1220000</v>
      </c>
      <c r="R58" s="13">
        <f t="shared" si="4"/>
        <v>1306000</v>
      </c>
      <c r="S58" s="13">
        <f t="shared" si="5"/>
        <v>1359000</v>
      </c>
      <c r="T58" s="13">
        <f t="shared" si="9"/>
        <v>1405000</v>
      </c>
      <c r="U58" s="13">
        <f t="shared" si="6"/>
        <v>1460000</v>
      </c>
      <c r="V58" s="13">
        <f t="shared" si="7"/>
        <v>1489000</v>
      </c>
      <c r="W58" s="13">
        <f t="shared" si="8"/>
        <v>1558000</v>
      </c>
    </row>
    <row r="59" spans="2:23" ht="30" customHeight="1" x14ac:dyDescent="0.2">
      <c r="B59" s="9"/>
      <c r="C59" s="19" t="s">
        <v>91</v>
      </c>
      <c r="D59" s="19"/>
      <c r="E59" s="55"/>
      <c r="F59" s="11"/>
      <c r="G59" s="9"/>
      <c r="H59" s="9"/>
      <c r="I59" s="9"/>
      <c r="J59" s="9"/>
      <c r="K59" s="9"/>
      <c r="L59" s="13" t="s">
        <v>0</v>
      </c>
      <c r="M59" s="13" t="s">
        <v>0</v>
      </c>
      <c r="N59" s="13" t="s">
        <v>0</v>
      </c>
      <c r="O59" s="13">
        <f t="shared" si="10"/>
        <v>0</v>
      </c>
      <c r="P59" s="13">
        <f t="shared" si="2"/>
        <v>0</v>
      </c>
      <c r="Q59" s="13" t="s">
        <v>0</v>
      </c>
      <c r="R59" s="13">
        <f t="shared" si="4"/>
        <v>0</v>
      </c>
      <c r="S59" s="13">
        <f t="shared" si="5"/>
        <v>0</v>
      </c>
      <c r="T59" s="13">
        <f t="shared" si="9"/>
        <v>0</v>
      </c>
      <c r="U59" s="13">
        <f t="shared" si="6"/>
        <v>0</v>
      </c>
      <c r="V59" s="13">
        <f t="shared" si="7"/>
        <v>0</v>
      </c>
      <c r="W59" s="13">
        <f t="shared" si="8"/>
        <v>0</v>
      </c>
    </row>
    <row r="60" spans="2:23" ht="30" customHeight="1" x14ac:dyDescent="0.2">
      <c r="B60" s="10">
        <f>B58+1</f>
        <v>27</v>
      </c>
      <c r="C60" s="19" t="s">
        <v>92</v>
      </c>
      <c r="D60" s="19" t="s">
        <v>39</v>
      </c>
      <c r="E60" s="55">
        <v>135</v>
      </c>
      <c r="F60" s="14">
        <v>2800</v>
      </c>
      <c r="G60" s="12">
        <v>55080000</v>
      </c>
      <c r="H60" s="13">
        <f>F60*$H$8-200</f>
        <v>58727000</v>
      </c>
      <c r="I60" s="13">
        <f>F60*$I$8-200</f>
        <v>61751000</v>
      </c>
      <c r="J60" s="13">
        <f>$F60*$J$8-400</f>
        <v>66536000</v>
      </c>
      <c r="K60" s="13">
        <f>$F60*$K$8</f>
        <v>68754000</v>
      </c>
      <c r="L60" s="13">
        <f>$F60*$L$8+400</f>
        <v>70370000</v>
      </c>
      <c r="M60" s="13">
        <f t="shared" si="1"/>
        <v>72937680</v>
      </c>
      <c r="N60" s="13">
        <f t="shared" si="11"/>
        <v>75155000</v>
      </c>
      <c r="O60" s="13">
        <f t="shared" si="10"/>
        <v>76958000</v>
      </c>
      <c r="P60" s="13">
        <f t="shared" si="2"/>
        <v>79181000</v>
      </c>
      <c r="Q60" s="13">
        <f t="shared" si="3"/>
        <v>83308000</v>
      </c>
      <c r="R60" s="13">
        <f t="shared" si="4"/>
        <v>89205000</v>
      </c>
      <c r="S60" s="13">
        <f t="shared" si="5"/>
        <v>92837000</v>
      </c>
      <c r="T60" s="13">
        <f t="shared" si="9"/>
        <v>95956000</v>
      </c>
      <c r="U60" s="13">
        <f t="shared" si="6"/>
        <v>99700000</v>
      </c>
      <c r="V60" s="13">
        <f t="shared" si="7"/>
        <v>101662000</v>
      </c>
      <c r="W60" s="13">
        <f t="shared" si="8"/>
        <v>106411000</v>
      </c>
    </row>
    <row r="61" spans="2:23" ht="30" customHeight="1" x14ac:dyDescent="0.2">
      <c r="B61" s="10"/>
      <c r="C61" s="19" t="s">
        <v>16</v>
      </c>
      <c r="D61" s="19" t="s">
        <v>93</v>
      </c>
      <c r="E61" s="55">
        <v>4</v>
      </c>
      <c r="F61" s="11">
        <v>82</v>
      </c>
      <c r="G61" s="12">
        <v>1632000</v>
      </c>
      <c r="H61" s="13">
        <f>F61*$H$8+132</f>
        <v>1720000</v>
      </c>
      <c r="I61" s="13">
        <f>F61*$I$8-428</f>
        <v>1808000</v>
      </c>
      <c r="J61" s="13">
        <f>$F61*$J$8+434</f>
        <v>1949000</v>
      </c>
      <c r="K61" s="13">
        <f>$F61*$K$8+490</f>
        <v>2014000</v>
      </c>
      <c r="L61" s="13">
        <f>$F61*$L$8+176</f>
        <v>2061000</v>
      </c>
      <c r="M61" s="13">
        <f t="shared" si="1"/>
        <v>2136498</v>
      </c>
      <c r="N61" s="13">
        <f t="shared" si="11"/>
        <v>2201000</v>
      </c>
      <c r="O61" s="13">
        <f t="shared" si="10"/>
        <v>2254000</v>
      </c>
      <c r="P61" s="13">
        <f t="shared" si="2"/>
        <v>2319000</v>
      </c>
      <c r="Q61" s="13">
        <f t="shared" si="3"/>
        <v>2440000</v>
      </c>
      <c r="R61" s="13">
        <f t="shared" si="4"/>
        <v>2612000</v>
      </c>
      <c r="S61" s="13">
        <f t="shared" si="5"/>
        <v>2719000</v>
      </c>
      <c r="T61" s="13">
        <f t="shared" si="9"/>
        <v>2810000</v>
      </c>
      <c r="U61" s="13">
        <f t="shared" si="6"/>
        <v>2920000</v>
      </c>
      <c r="V61" s="13">
        <f t="shared" si="7"/>
        <v>2977000</v>
      </c>
      <c r="W61" s="13">
        <f t="shared" si="8"/>
        <v>3116000</v>
      </c>
    </row>
    <row r="62" spans="2:23" ht="30" customHeight="1" x14ac:dyDescent="0.2">
      <c r="B62" s="10"/>
      <c r="C62" s="19" t="s">
        <v>94</v>
      </c>
      <c r="D62" s="19" t="s">
        <v>95</v>
      </c>
      <c r="E62" s="55">
        <v>120</v>
      </c>
      <c r="F62" s="14">
        <v>2400</v>
      </c>
      <c r="G62" s="12">
        <v>48960000</v>
      </c>
      <c r="H62" s="13">
        <f>F62*$H$8+400</f>
        <v>50338000</v>
      </c>
      <c r="I62" s="13">
        <f>F62*$I$8+400</f>
        <v>52930000</v>
      </c>
      <c r="J62" s="13">
        <f>$F62*$J$8-200</f>
        <v>57031000</v>
      </c>
      <c r="K62" s="13">
        <f>$F62*$K$8</f>
        <v>58932000</v>
      </c>
      <c r="L62" s="13">
        <f>$F62*$L$8+200</f>
        <v>60317000</v>
      </c>
      <c r="M62" s="13">
        <f t="shared" si="1"/>
        <v>62518080</v>
      </c>
      <c r="N62" s="13">
        <f t="shared" si="11"/>
        <v>64418000</v>
      </c>
      <c r="O62" s="13">
        <f t="shared" si="10"/>
        <v>65964000</v>
      </c>
      <c r="P62" s="13">
        <f t="shared" si="2"/>
        <v>67870000</v>
      </c>
      <c r="Q62" s="13">
        <f t="shared" si="3"/>
        <v>71407000</v>
      </c>
      <c r="R62" s="13">
        <f t="shared" si="4"/>
        <v>76462000</v>
      </c>
      <c r="S62" s="13">
        <f t="shared" si="5"/>
        <v>79574000</v>
      </c>
      <c r="T62" s="13">
        <f t="shared" si="9"/>
        <v>82248000</v>
      </c>
      <c r="U62" s="13">
        <f t="shared" si="6"/>
        <v>85457000</v>
      </c>
      <c r="V62" s="13">
        <f t="shared" si="7"/>
        <v>87139000</v>
      </c>
      <c r="W62" s="13">
        <f t="shared" si="8"/>
        <v>91210000</v>
      </c>
    </row>
    <row r="63" spans="2:23" ht="30" customHeight="1" x14ac:dyDescent="0.2">
      <c r="B63" s="9"/>
      <c r="C63" s="19" t="s">
        <v>96</v>
      </c>
      <c r="D63" s="19"/>
      <c r="E63" s="55"/>
      <c r="F63" s="11"/>
      <c r="G63" s="9"/>
      <c r="H63" s="9"/>
      <c r="I63" s="9"/>
      <c r="J63" s="9"/>
      <c r="K63" s="9"/>
      <c r="L63" s="13" t="s">
        <v>0</v>
      </c>
      <c r="M63" s="13" t="s">
        <v>0</v>
      </c>
      <c r="N63" s="13" t="s">
        <v>0</v>
      </c>
      <c r="O63" s="13">
        <f t="shared" si="10"/>
        <v>0</v>
      </c>
      <c r="P63" s="13">
        <f t="shared" si="2"/>
        <v>0</v>
      </c>
      <c r="Q63" s="13" t="s">
        <v>0</v>
      </c>
      <c r="R63" s="13">
        <f t="shared" si="4"/>
        <v>0</v>
      </c>
      <c r="S63" s="13">
        <f t="shared" si="5"/>
        <v>0</v>
      </c>
      <c r="T63" s="13">
        <f t="shared" si="9"/>
        <v>0</v>
      </c>
      <c r="U63" s="13">
        <f t="shared" si="6"/>
        <v>0</v>
      </c>
      <c r="V63" s="13">
        <f t="shared" si="7"/>
        <v>0</v>
      </c>
      <c r="W63" s="13">
        <f t="shared" si="8"/>
        <v>0</v>
      </c>
    </row>
    <row r="64" spans="2:23" ht="30" customHeight="1" x14ac:dyDescent="0.2">
      <c r="B64" s="10">
        <f>B60+1</f>
        <v>28</v>
      </c>
      <c r="C64" s="19" t="s">
        <v>97</v>
      </c>
      <c r="D64" s="19" t="s">
        <v>98</v>
      </c>
      <c r="E64" s="55">
        <v>1</v>
      </c>
      <c r="F64" s="11">
        <v>20</v>
      </c>
      <c r="G64" s="12">
        <v>408000</v>
      </c>
      <c r="H64" s="13">
        <f>F64*$H$8-480</f>
        <v>419000</v>
      </c>
      <c r="I64" s="13">
        <f>F64*$I$8-80</f>
        <v>441000</v>
      </c>
      <c r="J64" s="13">
        <f>$F64*$J$8-260</f>
        <v>475000</v>
      </c>
      <c r="K64" s="13">
        <f>$F64*$K$8-100</f>
        <v>491000</v>
      </c>
      <c r="L64" s="13">
        <f>$F64*$L$8+360</f>
        <v>503000</v>
      </c>
      <c r="M64" s="13">
        <f t="shared" si="1"/>
        <v>521460</v>
      </c>
      <c r="N64" s="13">
        <f t="shared" si="11"/>
        <v>537000</v>
      </c>
      <c r="O64" s="13">
        <f t="shared" si="10"/>
        <v>550000</v>
      </c>
      <c r="P64" s="13">
        <f t="shared" si="2"/>
        <v>566000</v>
      </c>
      <c r="Q64" s="13">
        <f t="shared" si="3"/>
        <v>595000</v>
      </c>
      <c r="R64" s="13">
        <f t="shared" si="4"/>
        <v>637000</v>
      </c>
      <c r="S64" s="13">
        <f t="shared" si="5"/>
        <v>663000</v>
      </c>
      <c r="T64" s="13">
        <f t="shared" si="9"/>
        <v>685000</v>
      </c>
      <c r="U64" s="13">
        <f t="shared" si="6"/>
        <v>712000</v>
      </c>
      <c r="V64" s="13">
        <f t="shared" si="7"/>
        <v>726000</v>
      </c>
      <c r="W64" s="13">
        <f t="shared" si="8"/>
        <v>760000</v>
      </c>
    </row>
    <row r="65" spans="2:23" ht="30" customHeight="1" x14ac:dyDescent="0.2">
      <c r="B65" s="10">
        <f>B64+1</f>
        <v>29</v>
      </c>
      <c r="C65" s="19" t="s">
        <v>99</v>
      </c>
      <c r="D65" s="19" t="s">
        <v>100</v>
      </c>
      <c r="E65" s="55">
        <v>2</v>
      </c>
      <c r="F65" s="11">
        <v>41</v>
      </c>
      <c r="G65" s="12">
        <v>816000</v>
      </c>
      <c r="H65" s="13">
        <f>F65*$H$8+66</f>
        <v>860000</v>
      </c>
      <c r="I65" s="13">
        <f>F65*$I$8-214</f>
        <v>904000</v>
      </c>
      <c r="J65" s="13">
        <f>$F65*$J$8-283</f>
        <v>974000</v>
      </c>
      <c r="K65" s="13">
        <f>$F65*$K$8+245</f>
        <v>1007000</v>
      </c>
      <c r="L65" s="13">
        <f>$F65*$L$8-412</f>
        <v>1030000</v>
      </c>
      <c r="M65" s="13">
        <f t="shared" si="1"/>
        <v>1068489</v>
      </c>
      <c r="N65" s="13">
        <f t="shared" si="11"/>
        <v>1100000</v>
      </c>
      <c r="O65" s="13">
        <f t="shared" si="10"/>
        <v>1127000</v>
      </c>
      <c r="P65" s="13">
        <f t="shared" si="2"/>
        <v>1159000</v>
      </c>
      <c r="Q65" s="13">
        <f t="shared" si="3"/>
        <v>1220000</v>
      </c>
      <c r="R65" s="13">
        <f t="shared" si="4"/>
        <v>1306000</v>
      </c>
      <c r="S65" s="13">
        <f t="shared" si="5"/>
        <v>1359000</v>
      </c>
      <c r="T65" s="13">
        <f t="shared" si="9"/>
        <v>1405000</v>
      </c>
      <c r="U65" s="13">
        <f t="shared" si="6"/>
        <v>1460000</v>
      </c>
      <c r="V65" s="13">
        <f t="shared" si="7"/>
        <v>1489000</v>
      </c>
      <c r="W65" s="13">
        <f t="shared" si="8"/>
        <v>1558000</v>
      </c>
    </row>
    <row r="66" spans="2:23" ht="30" customHeight="1" x14ac:dyDescent="0.2">
      <c r="B66" s="10">
        <f>B65+1</f>
        <v>30</v>
      </c>
      <c r="C66" s="19" t="s">
        <v>101</v>
      </c>
      <c r="D66" s="19" t="s">
        <v>102</v>
      </c>
      <c r="E66" s="55">
        <v>10</v>
      </c>
      <c r="F66" s="11">
        <v>200</v>
      </c>
      <c r="G66" s="12">
        <v>4080000</v>
      </c>
      <c r="H66" s="13">
        <f>F66*$H$8+200</f>
        <v>4195000</v>
      </c>
      <c r="I66" s="13">
        <f>F66*$I$8+200</f>
        <v>4411000</v>
      </c>
      <c r="J66" s="13">
        <f>$F66*$J$8+400</f>
        <v>4753000</v>
      </c>
      <c r="K66" s="13">
        <f>$F66*$K$8</f>
        <v>4911000</v>
      </c>
      <c r="L66" s="13">
        <f>$F66*$L$8-400</f>
        <v>5026000</v>
      </c>
      <c r="M66" s="13">
        <f t="shared" si="1"/>
        <v>5210280</v>
      </c>
      <c r="N66" s="13">
        <f t="shared" si="11"/>
        <v>5368000</v>
      </c>
      <c r="O66" s="13">
        <f t="shared" si="10"/>
        <v>5497000</v>
      </c>
      <c r="P66" s="13">
        <f t="shared" si="2"/>
        <v>5656000</v>
      </c>
      <c r="Q66" s="13">
        <f t="shared" si="3"/>
        <v>5951000</v>
      </c>
      <c r="R66" s="13">
        <f t="shared" si="4"/>
        <v>6372000</v>
      </c>
      <c r="S66" s="13">
        <f t="shared" si="5"/>
        <v>6631000</v>
      </c>
      <c r="T66" s="13">
        <f t="shared" si="9"/>
        <v>6854000</v>
      </c>
      <c r="U66" s="13">
        <f t="shared" si="6"/>
        <v>7121000</v>
      </c>
      <c r="V66" s="13">
        <f t="shared" si="7"/>
        <v>7262000</v>
      </c>
      <c r="W66" s="13">
        <f t="shared" si="8"/>
        <v>7601000</v>
      </c>
    </row>
    <row r="67" spans="2:23" ht="30" customHeight="1" x14ac:dyDescent="0.2">
      <c r="B67" s="9"/>
      <c r="C67" s="19" t="s">
        <v>103</v>
      </c>
      <c r="D67" s="19"/>
      <c r="E67" s="55"/>
      <c r="F67" s="11"/>
      <c r="G67" s="9"/>
      <c r="H67" s="9"/>
      <c r="I67" s="9"/>
      <c r="J67" s="9"/>
      <c r="K67" s="9"/>
      <c r="L67" s="13" t="s">
        <v>0</v>
      </c>
      <c r="M67" s="13" t="s">
        <v>0</v>
      </c>
      <c r="N67" s="13" t="s">
        <v>0</v>
      </c>
      <c r="O67" s="13">
        <f t="shared" si="10"/>
        <v>0</v>
      </c>
      <c r="P67" s="13">
        <f t="shared" si="2"/>
        <v>0</v>
      </c>
      <c r="Q67" s="13" t="s">
        <v>0</v>
      </c>
      <c r="R67" s="13">
        <f t="shared" si="4"/>
        <v>0</v>
      </c>
      <c r="S67" s="13">
        <f t="shared" si="5"/>
        <v>0</v>
      </c>
      <c r="T67" s="13">
        <f t="shared" si="9"/>
        <v>0</v>
      </c>
      <c r="U67" s="13">
        <f t="shared" si="6"/>
        <v>0</v>
      </c>
      <c r="V67" s="13">
        <f t="shared" si="7"/>
        <v>0</v>
      </c>
      <c r="W67" s="13">
        <f t="shared" si="8"/>
        <v>0</v>
      </c>
    </row>
    <row r="68" spans="2:23" ht="30" customHeight="1" x14ac:dyDescent="0.2">
      <c r="B68" s="10">
        <f>B66+1</f>
        <v>31</v>
      </c>
      <c r="C68" s="19" t="s">
        <v>104</v>
      </c>
      <c r="D68" s="19" t="s">
        <v>105</v>
      </c>
      <c r="E68" s="55">
        <v>1</v>
      </c>
      <c r="F68" s="11">
        <v>20</v>
      </c>
      <c r="G68" s="12">
        <v>408000</v>
      </c>
      <c r="H68" s="13">
        <f>F68*$H$8-480</f>
        <v>419000</v>
      </c>
      <c r="I68" s="13">
        <f>F68*$I$8-80</f>
        <v>441000</v>
      </c>
      <c r="J68" s="13">
        <f>$F68*$J$8-260</f>
        <v>475000</v>
      </c>
      <c r="K68" s="13">
        <f>$F68*$K$8-100</f>
        <v>491000</v>
      </c>
      <c r="L68" s="13">
        <f>$F68*$L$8+360</f>
        <v>503000</v>
      </c>
      <c r="M68" s="13">
        <f t="shared" si="1"/>
        <v>521460</v>
      </c>
      <c r="N68" s="13">
        <f t="shared" si="11"/>
        <v>537000</v>
      </c>
      <c r="O68" s="13">
        <f t="shared" si="10"/>
        <v>550000</v>
      </c>
      <c r="P68" s="13">
        <f t="shared" si="2"/>
        <v>566000</v>
      </c>
      <c r="Q68" s="13">
        <f t="shared" si="3"/>
        <v>595000</v>
      </c>
      <c r="R68" s="13">
        <f t="shared" si="4"/>
        <v>637000</v>
      </c>
      <c r="S68" s="13">
        <f t="shared" si="5"/>
        <v>663000</v>
      </c>
      <c r="T68" s="13">
        <f t="shared" si="9"/>
        <v>685000</v>
      </c>
      <c r="U68" s="13">
        <f t="shared" si="6"/>
        <v>712000</v>
      </c>
      <c r="V68" s="13">
        <f t="shared" si="7"/>
        <v>726000</v>
      </c>
      <c r="W68" s="13">
        <f t="shared" si="8"/>
        <v>760000</v>
      </c>
    </row>
    <row r="69" spans="2:23" ht="30" customHeight="1" x14ac:dyDescent="0.2">
      <c r="B69" s="10"/>
      <c r="C69" s="19" t="s">
        <v>16</v>
      </c>
      <c r="D69" s="19" t="s">
        <v>106</v>
      </c>
      <c r="E69" s="55">
        <v>14</v>
      </c>
      <c r="F69" s="11">
        <v>290</v>
      </c>
      <c r="G69" s="12">
        <v>5712000</v>
      </c>
      <c r="H69" s="13">
        <f>F69*$H$8-460</f>
        <v>6082000</v>
      </c>
      <c r="I69" s="13">
        <f>F69*$I$8+340</f>
        <v>6396000</v>
      </c>
      <c r="J69" s="13">
        <f>$F69*$J$8-270</f>
        <v>6891000</v>
      </c>
      <c r="K69" s="13">
        <f>$F69*$K$8+50</f>
        <v>7121000</v>
      </c>
      <c r="L69" s="13">
        <f>$F69*$L$8-280</f>
        <v>7288000</v>
      </c>
      <c r="M69" s="13">
        <f t="shared" si="1"/>
        <v>7554690</v>
      </c>
      <c r="N69" s="13">
        <f t="shared" si="11"/>
        <v>7784000</v>
      </c>
      <c r="O69" s="13">
        <f t="shared" si="10"/>
        <v>7971000</v>
      </c>
      <c r="P69" s="13">
        <f t="shared" si="2"/>
        <v>8201000</v>
      </c>
      <c r="Q69" s="13">
        <f t="shared" si="3"/>
        <v>8628000</v>
      </c>
      <c r="R69" s="13">
        <f t="shared" si="4"/>
        <v>9239000</v>
      </c>
      <c r="S69" s="13">
        <f t="shared" si="5"/>
        <v>9615000</v>
      </c>
      <c r="T69" s="13">
        <f t="shared" si="9"/>
        <v>9938000</v>
      </c>
      <c r="U69" s="13">
        <f t="shared" si="6"/>
        <v>10326000</v>
      </c>
      <c r="V69" s="13">
        <f t="shared" si="7"/>
        <v>10529000</v>
      </c>
      <c r="W69" s="13">
        <f t="shared" si="8"/>
        <v>11021000</v>
      </c>
    </row>
    <row r="70" spans="2:23" ht="30" customHeight="1" x14ac:dyDescent="0.2">
      <c r="B70" s="9"/>
      <c r="C70" s="19" t="s">
        <v>107</v>
      </c>
      <c r="D70" s="19"/>
      <c r="E70" s="55"/>
      <c r="F70" s="11"/>
      <c r="G70" s="9"/>
      <c r="H70" s="9"/>
      <c r="I70" s="9"/>
      <c r="J70" s="9"/>
      <c r="K70" s="9"/>
      <c r="L70" s="13" t="s">
        <v>0</v>
      </c>
      <c r="M70" s="13">
        <f t="shared" si="1"/>
        <v>480</v>
      </c>
      <c r="N70" s="13">
        <f t="shared" si="11"/>
        <v>0</v>
      </c>
      <c r="O70" s="13">
        <f t="shared" si="10"/>
        <v>0</v>
      </c>
      <c r="P70" s="13">
        <f t="shared" si="2"/>
        <v>0</v>
      </c>
      <c r="Q70" s="13" t="s">
        <v>0</v>
      </c>
      <c r="R70" s="13">
        <f t="shared" si="4"/>
        <v>0</v>
      </c>
      <c r="S70" s="13">
        <f t="shared" si="5"/>
        <v>0</v>
      </c>
      <c r="T70" s="13">
        <f t="shared" si="9"/>
        <v>0</v>
      </c>
      <c r="U70" s="13">
        <f t="shared" si="6"/>
        <v>0</v>
      </c>
      <c r="V70" s="13">
        <f t="shared" si="7"/>
        <v>0</v>
      </c>
      <c r="W70" s="13">
        <f t="shared" si="8"/>
        <v>0</v>
      </c>
    </row>
    <row r="71" spans="2:23" ht="30" customHeight="1" x14ac:dyDescent="0.2">
      <c r="B71" s="10">
        <f>B68+1</f>
        <v>32</v>
      </c>
      <c r="C71" s="19" t="s">
        <v>108</v>
      </c>
      <c r="D71" s="19" t="s">
        <v>109</v>
      </c>
      <c r="E71" s="55">
        <v>135</v>
      </c>
      <c r="F71" s="14">
        <v>2800</v>
      </c>
      <c r="G71" s="12">
        <v>55080000</v>
      </c>
      <c r="H71" s="13">
        <f>F71*$H$8-200</f>
        <v>58727000</v>
      </c>
      <c r="I71" s="13">
        <f>F71*$I$8-200</f>
        <v>61751000</v>
      </c>
      <c r="J71" s="13">
        <f>$F71*$J$8-400</f>
        <v>66536000</v>
      </c>
      <c r="K71" s="13">
        <f>$F71*$K$8</f>
        <v>68754000</v>
      </c>
      <c r="L71" s="13">
        <f>$F71*$L$8+400</f>
        <v>70370000</v>
      </c>
      <c r="M71" s="13">
        <f t="shared" si="1"/>
        <v>72937680</v>
      </c>
      <c r="N71" s="13">
        <f t="shared" si="11"/>
        <v>75155000</v>
      </c>
      <c r="O71" s="13">
        <f t="shared" si="10"/>
        <v>76958000</v>
      </c>
      <c r="P71" s="13">
        <f t="shared" si="2"/>
        <v>79181000</v>
      </c>
      <c r="Q71" s="13">
        <f t="shared" si="3"/>
        <v>83308000</v>
      </c>
      <c r="R71" s="13">
        <f t="shared" si="4"/>
        <v>89205000</v>
      </c>
      <c r="S71" s="13">
        <f t="shared" si="5"/>
        <v>92837000</v>
      </c>
      <c r="T71" s="13">
        <f t="shared" si="9"/>
        <v>95956000</v>
      </c>
      <c r="U71" s="13">
        <f t="shared" si="6"/>
        <v>99700000</v>
      </c>
      <c r="V71" s="13">
        <f t="shared" si="7"/>
        <v>101662000</v>
      </c>
      <c r="W71" s="13">
        <f t="shared" si="8"/>
        <v>106411000</v>
      </c>
    </row>
    <row r="72" spans="2:23" ht="30" customHeight="1" x14ac:dyDescent="0.2">
      <c r="B72" s="9"/>
      <c r="C72" s="19" t="s">
        <v>110</v>
      </c>
      <c r="D72" s="19"/>
      <c r="E72" s="55"/>
      <c r="F72" s="11"/>
      <c r="G72" s="9"/>
      <c r="H72" s="9"/>
      <c r="I72" s="9"/>
      <c r="J72" s="9"/>
      <c r="K72" s="9"/>
      <c r="L72" s="13" t="s">
        <v>0</v>
      </c>
      <c r="M72" s="13" t="s">
        <v>0</v>
      </c>
      <c r="N72" s="13" t="s">
        <v>0</v>
      </c>
      <c r="O72" s="13">
        <f t="shared" si="10"/>
        <v>0</v>
      </c>
      <c r="P72" s="13">
        <f t="shared" si="2"/>
        <v>0</v>
      </c>
      <c r="Q72" s="13" t="s">
        <v>0</v>
      </c>
      <c r="R72" s="13">
        <f t="shared" si="4"/>
        <v>0</v>
      </c>
      <c r="S72" s="13">
        <f t="shared" si="5"/>
        <v>0</v>
      </c>
      <c r="T72" s="13">
        <f t="shared" si="9"/>
        <v>0</v>
      </c>
      <c r="U72" s="13">
        <f t="shared" si="6"/>
        <v>0</v>
      </c>
      <c r="V72" s="13">
        <f t="shared" si="7"/>
        <v>0</v>
      </c>
      <c r="W72" s="13">
        <f t="shared" si="8"/>
        <v>0</v>
      </c>
    </row>
    <row r="73" spans="2:23" ht="30" customHeight="1" x14ac:dyDescent="0.2">
      <c r="B73" s="10">
        <f>B71+1</f>
        <v>33</v>
      </c>
      <c r="C73" s="19" t="s">
        <v>111</v>
      </c>
      <c r="D73" s="19" t="s">
        <v>112</v>
      </c>
      <c r="E73" s="55">
        <v>135</v>
      </c>
      <c r="F73" s="14">
        <v>2800</v>
      </c>
      <c r="G73" s="12">
        <v>55080000</v>
      </c>
      <c r="H73" s="13">
        <f>F73*$H$8-200</f>
        <v>58727000</v>
      </c>
      <c r="I73" s="13">
        <f>F73*$I$8-200</f>
        <v>61751000</v>
      </c>
      <c r="J73" s="13">
        <f>$F73*$J$8-400</f>
        <v>66536000</v>
      </c>
      <c r="K73" s="13">
        <f>$F73*$K$8</f>
        <v>68754000</v>
      </c>
      <c r="L73" s="13">
        <f>$F73*$L$8+400</f>
        <v>70370000</v>
      </c>
      <c r="M73" s="13">
        <f t="shared" si="1"/>
        <v>72937680</v>
      </c>
      <c r="N73" s="13">
        <f t="shared" si="11"/>
        <v>75155000</v>
      </c>
      <c r="O73" s="13">
        <f t="shared" si="10"/>
        <v>76958000</v>
      </c>
      <c r="P73" s="13">
        <f t="shared" si="2"/>
        <v>79181000</v>
      </c>
      <c r="Q73" s="13">
        <f t="shared" si="3"/>
        <v>83308000</v>
      </c>
      <c r="R73" s="13">
        <f t="shared" si="4"/>
        <v>89205000</v>
      </c>
      <c r="S73" s="13">
        <f t="shared" si="5"/>
        <v>92837000</v>
      </c>
      <c r="T73" s="13">
        <f t="shared" si="9"/>
        <v>95956000</v>
      </c>
      <c r="U73" s="13">
        <f t="shared" si="6"/>
        <v>99700000</v>
      </c>
      <c r="V73" s="13">
        <f t="shared" si="7"/>
        <v>101662000</v>
      </c>
      <c r="W73" s="13">
        <f t="shared" si="8"/>
        <v>106411000</v>
      </c>
    </row>
    <row r="74" spans="2:23" ht="30" customHeight="1" x14ac:dyDescent="0.2">
      <c r="B74" s="9"/>
      <c r="C74" s="19" t="s">
        <v>113</v>
      </c>
      <c r="D74" s="19"/>
      <c r="E74" s="55"/>
      <c r="F74" s="11"/>
      <c r="G74" s="9"/>
      <c r="H74" s="9"/>
      <c r="I74" s="9"/>
      <c r="J74" s="9"/>
      <c r="K74" s="9"/>
      <c r="L74" s="13" t="s">
        <v>0</v>
      </c>
      <c r="M74" s="13" t="s">
        <v>0</v>
      </c>
      <c r="N74" s="13" t="s">
        <v>0</v>
      </c>
      <c r="O74" s="13">
        <f t="shared" si="10"/>
        <v>0</v>
      </c>
      <c r="P74" s="13">
        <f t="shared" si="2"/>
        <v>0</v>
      </c>
      <c r="Q74" s="13"/>
      <c r="R74" s="13">
        <f t="shared" si="4"/>
        <v>0</v>
      </c>
      <c r="S74" s="13">
        <f t="shared" si="5"/>
        <v>0</v>
      </c>
      <c r="T74" s="13">
        <f t="shared" si="9"/>
        <v>0</v>
      </c>
      <c r="U74" s="13">
        <f t="shared" si="6"/>
        <v>0</v>
      </c>
      <c r="V74" s="13">
        <f t="shared" si="7"/>
        <v>0</v>
      </c>
      <c r="W74" s="13">
        <f t="shared" si="8"/>
        <v>0</v>
      </c>
    </row>
    <row r="75" spans="2:23" ht="30" customHeight="1" x14ac:dyDescent="0.2">
      <c r="B75" s="10">
        <f>B73+1</f>
        <v>34</v>
      </c>
      <c r="C75" s="19" t="s">
        <v>114</v>
      </c>
      <c r="D75" s="19"/>
      <c r="E75" s="55"/>
      <c r="F75" s="11"/>
      <c r="G75" s="9"/>
      <c r="H75" s="9"/>
      <c r="I75" s="9"/>
      <c r="J75" s="9"/>
      <c r="K75" s="9"/>
      <c r="L75" s="13" t="s">
        <v>0</v>
      </c>
      <c r="M75" s="13" t="s">
        <v>0</v>
      </c>
      <c r="N75" s="13" t="s">
        <v>0</v>
      </c>
      <c r="O75" s="13">
        <f t="shared" si="10"/>
        <v>0</v>
      </c>
      <c r="P75" s="13">
        <f t="shared" ref="P75:P138" si="12">ROUND(($F75*$P$8),-3)</f>
        <v>0</v>
      </c>
      <c r="Q75" s="13"/>
      <c r="R75" s="13">
        <f t="shared" ref="R75:R138" si="13">ROUND(($F75*$R$8),-3)</f>
        <v>0</v>
      </c>
      <c r="S75" s="13">
        <f t="shared" ref="S75:S138" si="14">ROUND(($F75*$S$8),-3)</f>
        <v>0</v>
      </c>
      <c r="T75" s="13">
        <f t="shared" si="9"/>
        <v>0</v>
      </c>
      <c r="U75" s="13">
        <f t="shared" ref="U75:U138" si="15">ROUND(($F75*$U$8),-3)</f>
        <v>0</v>
      </c>
      <c r="V75" s="13">
        <f t="shared" ref="V75:V138" si="16">ROUND(($F75*$V$8),-3)</f>
        <v>0</v>
      </c>
      <c r="W75" s="13">
        <f t="shared" ref="W75:W138" si="17">ROUND(($F75*$W$8),-3)</f>
        <v>0</v>
      </c>
    </row>
    <row r="76" spans="2:23" ht="30" customHeight="1" x14ac:dyDescent="0.2">
      <c r="B76" s="10"/>
      <c r="C76" s="19" t="s">
        <v>14</v>
      </c>
      <c r="D76" s="19" t="s">
        <v>115</v>
      </c>
      <c r="E76" s="56">
        <v>5000</v>
      </c>
      <c r="F76" s="14">
        <v>100000</v>
      </c>
      <c r="G76" s="12">
        <v>2040000000</v>
      </c>
      <c r="H76" s="13">
        <f t="shared" ref="H76:H82" si="18">F76*$H$8</f>
        <v>2097400000</v>
      </c>
      <c r="I76" s="13">
        <f>F76*$I$8</f>
        <v>2205400000</v>
      </c>
      <c r="J76" s="13">
        <f>$F76*$J$8</f>
        <v>2376300000</v>
      </c>
      <c r="K76" s="13">
        <f t="shared" ref="K76:K84" si="19">$F76*$K$8</f>
        <v>2455500000</v>
      </c>
      <c r="L76" s="13">
        <f t="shared" ref="L76:L91" si="20">$F76*$L$8</f>
        <v>2513200000</v>
      </c>
      <c r="M76" s="13">
        <f t="shared" ref="M76:M138" si="21">$F76*$M$8+480</f>
        <v>2604900480</v>
      </c>
      <c r="N76" s="13">
        <f t="shared" si="11"/>
        <v>2684100000</v>
      </c>
      <c r="O76" s="13">
        <f t="shared" si="10"/>
        <v>2748500000</v>
      </c>
      <c r="P76" s="13">
        <f t="shared" si="12"/>
        <v>2827900000</v>
      </c>
      <c r="Q76" s="13">
        <f t="shared" ref="Q76:Q137" si="22">ROUND(($F76*$Q$8),-3)</f>
        <v>2975300000</v>
      </c>
      <c r="R76" s="13">
        <f t="shared" si="13"/>
        <v>3185900000</v>
      </c>
      <c r="S76" s="13">
        <f t="shared" si="14"/>
        <v>3315600000</v>
      </c>
      <c r="T76" s="13">
        <f t="shared" ref="T76:T139" si="23">ROUND(($F76*$T$8),-3)</f>
        <v>3427000000</v>
      </c>
      <c r="U76" s="13">
        <f t="shared" si="15"/>
        <v>3560700000</v>
      </c>
      <c r="V76" s="13">
        <f t="shared" si="16"/>
        <v>3630800000</v>
      </c>
      <c r="W76" s="13">
        <f t="shared" si="17"/>
        <v>3800400000</v>
      </c>
    </row>
    <row r="77" spans="2:23" ht="30" customHeight="1" x14ac:dyDescent="0.2">
      <c r="B77" s="10"/>
      <c r="C77" s="19" t="s">
        <v>16</v>
      </c>
      <c r="D77" s="19" t="s">
        <v>116</v>
      </c>
      <c r="E77" s="56">
        <v>3000</v>
      </c>
      <c r="F77" s="14">
        <v>61000</v>
      </c>
      <c r="G77" s="12">
        <v>1224000000</v>
      </c>
      <c r="H77" s="13">
        <f t="shared" si="18"/>
        <v>1279414000</v>
      </c>
      <c r="I77" s="13">
        <f>F77*$I$8</f>
        <v>1345294000</v>
      </c>
      <c r="J77" s="13">
        <f>$F77*$J$8</f>
        <v>1449543000</v>
      </c>
      <c r="K77" s="13">
        <f t="shared" si="19"/>
        <v>1497855000</v>
      </c>
      <c r="L77" s="13">
        <f t="shared" si="20"/>
        <v>1533052000</v>
      </c>
      <c r="M77" s="13">
        <f t="shared" si="21"/>
        <v>1588989480</v>
      </c>
      <c r="N77" s="13">
        <f t="shared" si="11"/>
        <v>1637301000</v>
      </c>
      <c r="O77" s="13">
        <f t="shared" ref="O77:O140" si="24">ROUND(($F77*$O$8),-3)</f>
        <v>1676585000</v>
      </c>
      <c r="P77" s="13">
        <f t="shared" si="12"/>
        <v>1725019000</v>
      </c>
      <c r="Q77" s="13">
        <f t="shared" si="22"/>
        <v>1814933000</v>
      </c>
      <c r="R77" s="13">
        <f t="shared" si="13"/>
        <v>1943399000</v>
      </c>
      <c r="S77" s="13">
        <f t="shared" si="14"/>
        <v>2022516000</v>
      </c>
      <c r="T77" s="13">
        <f t="shared" si="23"/>
        <v>2090470000</v>
      </c>
      <c r="U77" s="13">
        <f t="shared" si="15"/>
        <v>2172027000</v>
      </c>
      <c r="V77" s="13">
        <f t="shared" si="16"/>
        <v>2214788000</v>
      </c>
      <c r="W77" s="13">
        <f t="shared" si="17"/>
        <v>2318244000</v>
      </c>
    </row>
    <row r="78" spans="2:23" ht="30" customHeight="1" x14ac:dyDescent="0.2">
      <c r="B78" s="10"/>
      <c r="C78" s="19" t="s">
        <v>94</v>
      </c>
      <c r="D78" s="19" t="s">
        <v>117</v>
      </c>
      <c r="E78" s="55">
        <v>500</v>
      </c>
      <c r="F78" s="14">
        <v>10000</v>
      </c>
      <c r="G78" s="12">
        <v>204000000</v>
      </c>
      <c r="H78" s="13">
        <f t="shared" si="18"/>
        <v>209740000</v>
      </c>
      <c r="I78" s="13">
        <f>F78*$I$8</f>
        <v>220540000</v>
      </c>
      <c r="J78" s="13">
        <f>$F78*$J$8</f>
        <v>237630000</v>
      </c>
      <c r="K78" s="13">
        <f t="shared" si="19"/>
        <v>245550000</v>
      </c>
      <c r="L78" s="13">
        <f t="shared" si="20"/>
        <v>251320000</v>
      </c>
      <c r="M78" s="13">
        <f t="shared" si="21"/>
        <v>260490480</v>
      </c>
      <c r="N78" s="13">
        <f t="shared" ref="N78:N141" si="25">ROUND(($F78*$N$8),-3)</f>
        <v>268410000</v>
      </c>
      <c r="O78" s="13">
        <f t="shared" si="24"/>
        <v>274850000</v>
      </c>
      <c r="P78" s="13">
        <f t="shared" si="12"/>
        <v>282790000</v>
      </c>
      <c r="Q78" s="13">
        <f t="shared" si="22"/>
        <v>297530000</v>
      </c>
      <c r="R78" s="13">
        <f t="shared" si="13"/>
        <v>318590000</v>
      </c>
      <c r="S78" s="13">
        <f t="shared" si="14"/>
        <v>331560000</v>
      </c>
      <c r="T78" s="13">
        <f t="shared" si="23"/>
        <v>342700000</v>
      </c>
      <c r="U78" s="13">
        <f t="shared" si="15"/>
        <v>356070000</v>
      </c>
      <c r="V78" s="13">
        <f t="shared" si="16"/>
        <v>363080000</v>
      </c>
      <c r="W78" s="13">
        <f t="shared" si="17"/>
        <v>380040000</v>
      </c>
    </row>
    <row r="79" spans="2:23" ht="30" customHeight="1" x14ac:dyDescent="0.2">
      <c r="B79" s="10">
        <f>B75+1</f>
        <v>35</v>
      </c>
      <c r="C79" s="19" t="s">
        <v>118</v>
      </c>
      <c r="D79" s="19" t="s">
        <v>119</v>
      </c>
      <c r="E79" s="55">
        <v>500</v>
      </c>
      <c r="F79" s="14">
        <v>10000</v>
      </c>
      <c r="G79" s="12">
        <v>204000000</v>
      </c>
      <c r="H79" s="13">
        <f t="shared" si="18"/>
        <v>209740000</v>
      </c>
      <c r="I79" s="13">
        <f>F79*$I$8</f>
        <v>220540000</v>
      </c>
      <c r="J79" s="13">
        <f>$F79*$J$8</f>
        <v>237630000</v>
      </c>
      <c r="K79" s="13">
        <f t="shared" si="19"/>
        <v>245550000</v>
      </c>
      <c r="L79" s="13">
        <f t="shared" si="20"/>
        <v>251320000</v>
      </c>
      <c r="M79" s="13">
        <f t="shared" si="21"/>
        <v>260490480</v>
      </c>
      <c r="N79" s="13">
        <f t="shared" si="25"/>
        <v>268410000</v>
      </c>
      <c r="O79" s="13">
        <f t="shared" si="24"/>
        <v>274850000</v>
      </c>
      <c r="P79" s="13">
        <f t="shared" si="12"/>
        <v>282790000</v>
      </c>
      <c r="Q79" s="13">
        <f t="shared" si="22"/>
        <v>297530000</v>
      </c>
      <c r="R79" s="13">
        <f t="shared" si="13"/>
        <v>318590000</v>
      </c>
      <c r="S79" s="13">
        <f t="shared" si="14"/>
        <v>331560000</v>
      </c>
      <c r="T79" s="13">
        <f t="shared" si="23"/>
        <v>342700000</v>
      </c>
      <c r="U79" s="13">
        <f t="shared" si="15"/>
        <v>356070000</v>
      </c>
      <c r="V79" s="13">
        <f t="shared" si="16"/>
        <v>363080000</v>
      </c>
      <c r="W79" s="13">
        <f t="shared" si="17"/>
        <v>380040000</v>
      </c>
    </row>
    <row r="80" spans="2:23" ht="30" customHeight="1" x14ac:dyDescent="0.2">
      <c r="B80" s="17"/>
      <c r="C80" s="36" t="s">
        <v>120</v>
      </c>
      <c r="D80" s="36"/>
      <c r="E80" s="55"/>
      <c r="F80" s="11"/>
      <c r="G80" s="9"/>
      <c r="H80" s="9"/>
      <c r="I80" s="9"/>
      <c r="J80" s="9"/>
      <c r="K80" s="9"/>
      <c r="L80" s="13" t="s">
        <v>0</v>
      </c>
      <c r="M80" s="13" t="s">
        <v>0</v>
      </c>
      <c r="N80" s="13" t="s">
        <v>0</v>
      </c>
      <c r="O80" s="13">
        <f t="shared" si="24"/>
        <v>0</v>
      </c>
      <c r="P80" s="13">
        <f t="shared" si="12"/>
        <v>0</v>
      </c>
      <c r="Q80" s="13" t="s">
        <v>0</v>
      </c>
      <c r="R80" s="13">
        <f t="shared" si="13"/>
        <v>0</v>
      </c>
      <c r="S80" s="13">
        <f t="shared" si="14"/>
        <v>0</v>
      </c>
      <c r="T80" s="13">
        <f t="shared" si="23"/>
        <v>0</v>
      </c>
      <c r="U80" s="13">
        <f t="shared" si="15"/>
        <v>0</v>
      </c>
      <c r="V80" s="13">
        <f t="shared" si="16"/>
        <v>0</v>
      </c>
      <c r="W80" s="13">
        <f t="shared" si="17"/>
        <v>0</v>
      </c>
    </row>
    <row r="81" spans="2:23" ht="30" customHeight="1" x14ac:dyDescent="0.2">
      <c r="B81" s="18">
        <f>B79+1</f>
        <v>36</v>
      </c>
      <c r="C81" s="36" t="s">
        <v>121</v>
      </c>
      <c r="D81" s="36" t="s">
        <v>122</v>
      </c>
      <c r="E81" s="56">
        <v>5001</v>
      </c>
      <c r="F81" s="14">
        <v>100000</v>
      </c>
      <c r="G81" s="16">
        <v>2040408000</v>
      </c>
      <c r="H81" s="13">
        <f t="shared" si="18"/>
        <v>2097400000</v>
      </c>
      <c r="I81" s="13">
        <f>F81*$I$8</f>
        <v>2205400000</v>
      </c>
      <c r="J81" s="13">
        <f>$F81*$J$8</f>
        <v>2376300000</v>
      </c>
      <c r="K81" s="13">
        <f t="shared" si="19"/>
        <v>2455500000</v>
      </c>
      <c r="L81" s="13">
        <f t="shared" si="20"/>
        <v>2513200000</v>
      </c>
      <c r="M81" s="13">
        <f t="shared" si="21"/>
        <v>2604900480</v>
      </c>
      <c r="N81" s="13">
        <f t="shared" si="25"/>
        <v>2684100000</v>
      </c>
      <c r="O81" s="13">
        <f t="shared" si="24"/>
        <v>2748500000</v>
      </c>
      <c r="P81" s="13">
        <f t="shared" si="12"/>
        <v>2827900000</v>
      </c>
      <c r="Q81" s="13">
        <f t="shared" si="22"/>
        <v>2975300000</v>
      </c>
      <c r="R81" s="13">
        <f t="shared" si="13"/>
        <v>3185900000</v>
      </c>
      <c r="S81" s="13">
        <f t="shared" si="14"/>
        <v>3315600000</v>
      </c>
      <c r="T81" s="13">
        <f t="shared" si="23"/>
        <v>3427000000</v>
      </c>
      <c r="U81" s="13">
        <f t="shared" si="15"/>
        <v>3560700000</v>
      </c>
      <c r="V81" s="13">
        <f t="shared" si="16"/>
        <v>3630800000</v>
      </c>
      <c r="W81" s="13">
        <f t="shared" si="17"/>
        <v>3800400000</v>
      </c>
    </row>
    <row r="82" spans="2:23" ht="30" customHeight="1" x14ac:dyDescent="0.2">
      <c r="B82" s="18"/>
      <c r="C82" s="36" t="s">
        <v>123</v>
      </c>
      <c r="D82" s="36" t="s">
        <v>122</v>
      </c>
      <c r="E82" s="56">
        <v>30000</v>
      </c>
      <c r="F82" s="14">
        <v>610000</v>
      </c>
      <c r="G82" s="16">
        <v>12240000000</v>
      </c>
      <c r="H82" s="13">
        <f t="shared" si="18"/>
        <v>12794140000</v>
      </c>
      <c r="I82" s="13">
        <f>F82*$I$8</f>
        <v>13452940000</v>
      </c>
      <c r="J82" s="13">
        <f>$F82*$J$8</f>
        <v>14495430000</v>
      </c>
      <c r="K82" s="13">
        <f t="shared" si="19"/>
        <v>14978550000</v>
      </c>
      <c r="L82" s="13">
        <f t="shared" si="20"/>
        <v>15330520000</v>
      </c>
      <c r="M82" s="13">
        <f t="shared" si="21"/>
        <v>15889890480</v>
      </c>
      <c r="N82" s="13">
        <f t="shared" si="25"/>
        <v>16373010000</v>
      </c>
      <c r="O82" s="13">
        <f t="shared" si="24"/>
        <v>16765850000</v>
      </c>
      <c r="P82" s="13">
        <f t="shared" si="12"/>
        <v>17250190000</v>
      </c>
      <c r="Q82" s="13">
        <f t="shared" si="22"/>
        <v>18149330000</v>
      </c>
      <c r="R82" s="13">
        <f t="shared" si="13"/>
        <v>19433990000</v>
      </c>
      <c r="S82" s="13">
        <f t="shared" si="14"/>
        <v>20225160000</v>
      </c>
      <c r="T82" s="13">
        <f t="shared" si="23"/>
        <v>20904700000</v>
      </c>
      <c r="U82" s="13">
        <f t="shared" si="15"/>
        <v>21720270000</v>
      </c>
      <c r="V82" s="13">
        <f t="shared" si="16"/>
        <v>22147880000</v>
      </c>
      <c r="W82" s="13">
        <f t="shared" si="17"/>
        <v>23182440000</v>
      </c>
    </row>
    <row r="83" spans="2:23" ht="30" customHeight="1" x14ac:dyDescent="0.2">
      <c r="B83" s="9"/>
      <c r="C83" s="19" t="s">
        <v>124</v>
      </c>
      <c r="D83" s="19"/>
      <c r="E83" s="55"/>
      <c r="F83" s="11"/>
      <c r="G83" s="9"/>
      <c r="H83" s="9"/>
      <c r="I83" s="9"/>
      <c r="J83" s="9"/>
      <c r="K83" s="9"/>
      <c r="L83" s="13" t="s">
        <v>0</v>
      </c>
      <c r="M83" s="13" t="s">
        <v>0</v>
      </c>
      <c r="N83" s="13" t="s">
        <v>0</v>
      </c>
      <c r="O83" s="13">
        <f t="shared" si="24"/>
        <v>0</v>
      </c>
      <c r="P83" s="13">
        <f t="shared" si="12"/>
        <v>0</v>
      </c>
      <c r="Q83" s="13" t="s">
        <v>0</v>
      </c>
      <c r="R83" s="13">
        <f t="shared" si="13"/>
        <v>0</v>
      </c>
      <c r="S83" s="13">
        <f t="shared" si="14"/>
        <v>0</v>
      </c>
      <c r="T83" s="13">
        <f t="shared" si="23"/>
        <v>0</v>
      </c>
      <c r="U83" s="13">
        <f t="shared" si="15"/>
        <v>0</v>
      </c>
      <c r="V83" s="13">
        <f t="shared" si="16"/>
        <v>0</v>
      </c>
      <c r="W83" s="13">
        <f t="shared" si="17"/>
        <v>0</v>
      </c>
    </row>
    <row r="84" spans="2:23" ht="30" customHeight="1" x14ac:dyDescent="0.2">
      <c r="B84" s="10">
        <f>B81+1</f>
        <v>37</v>
      </c>
      <c r="C84" s="19" t="s">
        <v>125</v>
      </c>
      <c r="D84" s="19" t="s">
        <v>126</v>
      </c>
      <c r="E84" s="56">
        <v>7500</v>
      </c>
      <c r="F84" s="14">
        <v>150000</v>
      </c>
      <c r="G84" s="12">
        <v>3060000000</v>
      </c>
      <c r="H84" s="13">
        <f>F84*$H$8</f>
        <v>3146100000</v>
      </c>
      <c r="I84" s="13">
        <f>F84*$I$8</f>
        <v>3308100000</v>
      </c>
      <c r="J84" s="13">
        <f>$F84*$J$8</f>
        <v>3564450000</v>
      </c>
      <c r="K84" s="13">
        <f t="shared" si="19"/>
        <v>3683250000</v>
      </c>
      <c r="L84" s="13">
        <f t="shared" si="20"/>
        <v>3769800000</v>
      </c>
      <c r="M84" s="13">
        <f t="shared" si="21"/>
        <v>3907350480</v>
      </c>
      <c r="N84" s="13">
        <f t="shared" si="25"/>
        <v>4026150000</v>
      </c>
      <c r="O84" s="13">
        <f t="shared" si="24"/>
        <v>4122750000</v>
      </c>
      <c r="P84" s="13">
        <f t="shared" si="12"/>
        <v>4241850000</v>
      </c>
      <c r="Q84" s="13">
        <f t="shared" si="22"/>
        <v>4462950000</v>
      </c>
      <c r="R84" s="13">
        <f t="shared" si="13"/>
        <v>4778850000</v>
      </c>
      <c r="S84" s="13">
        <f t="shared" si="14"/>
        <v>4973400000</v>
      </c>
      <c r="T84" s="13">
        <f t="shared" si="23"/>
        <v>5140500000</v>
      </c>
      <c r="U84" s="13">
        <f t="shared" si="15"/>
        <v>5341050000</v>
      </c>
      <c r="V84" s="13">
        <f t="shared" si="16"/>
        <v>5446200000</v>
      </c>
      <c r="W84" s="13">
        <f t="shared" si="17"/>
        <v>5700600000</v>
      </c>
    </row>
    <row r="85" spans="2:23" ht="30" customHeight="1" x14ac:dyDescent="0.2">
      <c r="B85" s="9"/>
      <c r="C85" s="19" t="s">
        <v>127</v>
      </c>
      <c r="D85" s="19"/>
      <c r="E85" s="55"/>
      <c r="F85" s="11"/>
      <c r="G85" s="9"/>
      <c r="H85" s="9"/>
      <c r="I85" s="9"/>
      <c r="J85" s="9"/>
      <c r="K85" s="9"/>
      <c r="L85" s="13" t="s">
        <v>0</v>
      </c>
      <c r="M85" s="13" t="s">
        <v>0</v>
      </c>
      <c r="N85" s="13" t="s">
        <v>0</v>
      </c>
      <c r="O85" s="13">
        <f t="shared" si="24"/>
        <v>0</v>
      </c>
      <c r="P85" s="13">
        <f t="shared" si="12"/>
        <v>0</v>
      </c>
      <c r="Q85" s="13" t="s">
        <v>0</v>
      </c>
      <c r="R85" s="13">
        <f t="shared" si="13"/>
        <v>0</v>
      </c>
      <c r="S85" s="13">
        <f t="shared" si="14"/>
        <v>0</v>
      </c>
      <c r="T85" s="13">
        <f t="shared" si="23"/>
        <v>0</v>
      </c>
      <c r="U85" s="13">
        <f t="shared" si="15"/>
        <v>0</v>
      </c>
      <c r="V85" s="13">
        <f t="shared" si="16"/>
        <v>0</v>
      </c>
      <c r="W85" s="13">
        <f t="shared" si="17"/>
        <v>0</v>
      </c>
    </row>
    <row r="86" spans="2:23" ht="30" customHeight="1" x14ac:dyDescent="0.2">
      <c r="B86" s="10">
        <f>B84+1</f>
        <v>38</v>
      </c>
      <c r="C86" s="19" t="s">
        <v>128</v>
      </c>
      <c r="D86" s="19" t="s">
        <v>129</v>
      </c>
      <c r="E86" s="55">
        <v>15</v>
      </c>
      <c r="F86" s="11">
        <v>310</v>
      </c>
      <c r="G86" s="12">
        <v>6120000</v>
      </c>
      <c r="H86" s="13">
        <f>F86*$H$8+60</f>
        <v>6502000</v>
      </c>
      <c r="I86" s="13">
        <f>F86*$I$8+260</f>
        <v>6837000</v>
      </c>
      <c r="J86" s="13">
        <f>$F86*$J$8+470</f>
        <v>7367000</v>
      </c>
      <c r="K86" s="13">
        <f>$F86*$K$8-50</f>
        <v>7612000</v>
      </c>
      <c r="L86" s="13">
        <f>$F86*$L$8+80</f>
        <v>7791000</v>
      </c>
      <c r="M86" s="13">
        <f t="shared" si="21"/>
        <v>8075670</v>
      </c>
      <c r="N86" s="13">
        <f t="shared" si="25"/>
        <v>8321000</v>
      </c>
      <c r="O86" s="13">
        <f t="shared" si="24"/>
        <v>8520000</v>
      </c>
      <c r="P86" s="13">
        <f t="shared" si="12"/>
        <v>8766000</v>
      </c>
      <c r="Q86" s="13">
        <f t="shared" si="22"/>
        <v>9223000</v>
      </c>
      <c r="R86" s="13">
        <f t="shared" si="13"/>
        <v>9876000</v>
      </c>
      <c r="S86" s="13">
        <f t="shared" si="14"/>
        <v>10278000</v>
      </c>
      <c r="T86" s="13">
        <f t="shared" si="23"/>
        <v>10624000</v>
      </c>
      <c r="U86" s="13">
        <f t="shared" si="15"/>
        <v>11038000</v>
      </c>
      <c r="V86" s="13">
        <f t="shared" si="16"/>
        <v>11255000</v>
      </c>
      <c r="W86" s="13">
        <f t="shared" si="17"/>
        <v>11781000</v>
      </c>
    </row>
    <row r="87" spans="2:23" ht="30" customHeight="1" x14ac:dyDescent="0.2">
      <c r="B87" s="10"/>
      <c r="C87" s="19" t="s">
        <v>16</v>
      </c>
      <c r="D87" s="19" t="s">
        <v>130</v>
      </c>
      <c r="E87" s="55">
        <v>2</v>
      </c>
      <c r="F87" s="11">
        <v>41</v>
      </c>
      <c r="G87" s="12">
        <v>816000</v>
      </c>
      <c r="H87" s="13">
        <f>F87*$H$8+66</f>
        <v>860000</v>
      </c>
      <c r="I87" s="13">
        <f>F87*$I$8-214</f>
        <v>904000</v>
      </c>
      <c r="J87" s="13">
        <f>$F87*$J$8-283</f>
        <v>974000</v>
      </c>
      <c r="K87" s="13">
        <f>$F87*$K$8+245</f>
        <v>1007000</v>
      </c>
      <c r="L87" s="13">
        <f>$F87*$L$8-412</f>
        <v>1030000</v>
      </c>
      <c r="M87" s="13">
        <f t="shared" si="21"/>
        <v>1068489</v>
      </c>
      <c r="N87" s="13">
        <f t="shared" si="25"/>
        <v>1100000</v>
      </c>
      <c r="O87" s="13">
        <f t="shared" si="24"/>
        <v>1127000</v>
      </c>
      <c r="P87" s="13">
        <f t="shared" si="12"/>
        <v>1159000</v>
      </c>
      <c r="Q87" s="13">
        <f t="shared" si="22"/>
        <v>1220000</v>
      </c>
      <c r="R87" s="13">
        <f t="shared" si="13"/>
        <v>1306000</v>
      </c>
      <c r="S87" s="13">
        <f t="shared" si="14"/>
        <v>1359000</v>
      </c>
      <c r="T87" s="13">
        <f t="shared" si="23"/>
        <v>1405000</v>
      </c>
      <c r="U87" s="13">
        <f t="shared" si="15"/>
        <v>1460000</v>
      </c>
      <c r="V87" s="13">
        <f t="shared" si="16"/>
        <v>1489000</v>
      </c>
      <c r="W87" s="13">
        <f t="shared" si="17"/>
        <v>1558000</v>
      </c>
    </row>
    <row r="88" spans="2:23" ht="30" customHeight="1" x14ac:dyDescent="0.2">
      <c r="B88" s="9"/>
      <c r="C88" s="19" t="s">
        <v>131</v>
      </c>
      <c r="D88" s="19"/>
      <c r="E88" s="55"/>
      <c r="F88" s="11"/>
      <c r="G88" s="9"/>
      <c r="H88" s="9"/>
      <c r="I88" s="9"/>
      <c r="J88" s="9"/>
      <c r="K88" s="9"/>
      <c r="L88" s="13"/>
      <c r="M88" s="13" t="s">
        <v>0</v>
      </c>
      <c r="N88" s="13" t="s">
        <v>0</v>
      </c>
      <c r="O88" s="13">
        <f t="shared" si="24"/>
        <v>0</v>
      </c>
      <c r="P88" s="13">
        <f t="shared" si="12"/>
        <v>0</v>
      </c>
      <c r="Q88" s="13"/>
      <c r="R88" s="13">
        <f t="shared" si="13"/>
        <v>0</v>
      </c>
      <c r="S88" s="13">
        <f t="shared" si="14"/>
        <v>0</v>
      </c>
      <c r="T88" s="13">
        <f t="shared" si="23"/>
        <v>0</v>
      </c>
      <c r="U88" s="13">
        <f t="shared" si="15"/>
        <v>0</v>
      </c>
      <c r="V88" s="13">
        <f t="shared" si="16"/>
        <v>0</v>
      </c>
      <c r="W88" s="13">
        <f t="shared" si="17"/>
        <v>0</v>
      </c>
    </row>
    <row r="89" spans="2:23" ht="30" customHeight="1" x14ac:dyDescent="0.2">
      <c r="B89" s="10">
        <f>B86+1</f>
        <v>39</v>
      </c>
      <c r="C89" s="19" t="s">
        <v>132</v>
      </c>
      <c r="D89" s="19"/>
      <c r="E89" s="55"/>
      <c r="F89" s="11"/>
      <c r="G89" s="9"/>
      <c r="H89" s="9"/>
      <c r="I89" s="9"/>
      <c r="J89" s="9"/>
      <c r="K89" s="9"/>
      <c r="L89" s="13"/>
      <c r="M89" s="13" t="s">
        <v>0</v>
      </c>
      <c r="N89" s="13" t="s">
        <v>0</v>
      </c>
      <c r="O89" s="13">
        <f t="shared" si="24"/>
        <v>0</v>
      </c>
      <c r="P89" s="13">
        <f t="shared" si="12"/>
        <v>0</v>
      </c>
      <c r="Q89" s="13"/>
      <c r="R89" s="13">
        <f t="shared" si="13"/>
        <v>0</v>
      </c>
      <c r="S89" s="13">
        <f t="shared" si="14"/>
        <v>0</v>
      </c>
      <c r="T89" s="13">
        <f t="shared" si="23"/>
        <v>0</v>
      </c>
      <c r="U89" s="13">
        <f t="shared" si="15"/>
        <v>0</v>
      </c>
      <c r="V89" s="13">
        <f t="shared" si="16"/>
        <v>0</v>
      </c>
      <c r="W89" s="13">
        <f t="shared" si="17"/>
        <v>0</v>
      </c>
    </row>
    <row r="90" spans="2:23" ht="30" customHeight="1" x14ac:dyDescent="0.2">
      <c r="B90" s="10"/>
      <c r="C90" s="19" t="s">
        <v>133</v>
      </c>
      <c r="D90" s="19" t="s">
        <v>134</v>
      </c>
      <c r="E90" s="56">
        <v>5000</v>
      </c>
      <c r="F90" s="14">
        <v>95000</v>
      </c>
      <c r="G90" s="12">
        <v>1907500000</v>
      </c>
      <c r="H90" s="13">
        <f>F90*$H$8</f>
        <v>1992530000</v>
      </c>
      <c r="I90" s="13">
        <f>F90*$I$8</f>
        <v>2095130000</v>
      </c>
      <c r="J90" s="13">
        <f>$F90*$J$8</f>
        <v>2257485000</v>
      </c>
      <c r="K90" s="13">
        <f>$F90*$K$8</f>
        <v>2332725000</v>
      </c>
      <c r="L90" s="13">
        <f t="shared" si="20"/>
        <v>2387540000</v>
      </c>
      <c r="M90" s="13">
        <f t="shared" si="21"/>
        <v>2474655480</v>
      </c>
      <c r="N90" s="13">
        <f t="shared" si="25"/>
        <v>2549895000</v>
      </c>
      <c r="O90" s="13">
        <f t="shared" si="24"/>
        <v>2611075000</v>
      </c>
      <c r="P90" s="13">
        <f t="shared" si="12"/>
        <v>2686505000</v>
      </c>
      <c r="Q90" s="13">
        <f t="shared" si="22"/>
        <v>2826535000</v>
      </c>
      <c r="R90" s="13">
        <f t="shared" si="13"/>
        <v>3026605000</v>
      </c>
      <c r="S90" s="13">
        <f t="shared" si="14"/>
        <v>3149820000</v>
      </c>
      <c r="T90" s="13">
        <f t="shared" si="23"/>
        <v>3255650000</v>
      </c>
      <c r="U90" s="13">
        <f t="shared" si="15"/>
        <v>3382665000</v>
      </c>
      <c r="V90" s="13">
        <f t="shared" si="16"/>
        <v>3449260000</v>
      </c>
      <c r="W90" s="13">
        <f t="shared" si="17"/>
        <v>3610380000</v>
      </c>
    </row>
    <row r="91" spans="2:23" ht="30" customHeight="1" x14ac:dyDescent="0.2">
      <c r="B91" s="10"/>
      <c r="C91" s="19" t="s">
        <v>24</v>
      </c>
      <c r="D91" s="19" t="s">
        <v>135</v>
      </c>
      <c r="E91" s="56">
        <v>3000</v>
      </c>
      <c r="F91" s="14">
        <v>57000</v>
      </c>
      <c r="G91" s="12">
        <v>1144500000</v>
      </c>
      <c r="H91" s="13">
        <f>F91*$H$8</f>
        <v>1195518000</v>
      </c>
      <c r="I91" s="13">
        <f>F91*$I$8</f>
        <v>1257078000</v>
      </c>
      <c r="J91" s="13">
        <f>$F91*$J$8</f>
        <v>1354491000</v>
      </c>
      <c r="K91" s="13">
        <f>$F91*$K$8</f>
        <v>1399635000</v>
      </c>
      <c r="L91" s="13">
        <f t="shared" si="20"/>
        <v>1432524000</v>
      </c>
      <c r="M91" s="13">
        <f t="shared" si="21"/>
        <v>1484793480</v>
      </c>
      <c r="N91" s="13">
        <f t="shared" si="25"/>
        <v>1529937000</v>
      </c>
      <c r="O91" s="13">
        <f t="shared" si="24"/>
        <v>1566645000</v>
      </c>
      <c r="P91" s="13">
        <f t="shared" si="12"/>
        <v>1611903000</v>
      </c>
      <c r="Q91" s="13">
        <f t="shared" si="22"/>
        <v>1695921000</v>
      </c>
      <c r="R91" s="13">
        <f t="shared" si="13"/>
        <v>1815963000</v>
      </c>
      <c r="S91" s="13">
        <f t="shared" si="14"/>
        <v>1889892000</v>
      </c>
      <c r="T91" s="13">
        <f t="shared" si="23"/>
        <v>1953390000</v>
      </c>
      <c r="U91" s="13">
        <f t="shared" si="15"/>
        <v>2029599000</v>
      </c>
      <c r="V91" s="13">
        <f t="shared" si="16"/>
        <v>2069556000</v>
      </c>
      <c r="W91" s="13">
        <f t="shared" si="17"/>
        <v>2166228000</v>
      </c>
    </row>
    <row r="92" spans="2:23" ht="30" customHeight="1" x14ac:dyDescent="0.2">
      <c r="B92" s="10">
        <f>B89+1</f>
        <v>40</v>
      </c>
      <c r="C92" s="19" t="s">
        <v>136</v>
      </c>
      <c r="D92" s="19" t="s">
        <v>137</v>
      </c>
      <c r="E92" s="55">
        <v>2</v>
      </c>
      <c r="F92" s="11">
        <v>41</v>
      </c>
      <c r="G92" s="12">
        <v>816000</v>
      </c>
      <c r="H92" s="13">
        <f>F92*$H$8+66</f>
        <v>860000</v>
      </c>
      <c r="I92" s="13">
        <f>F92*$I$8-214</f>
        <v>904000</v>
      </c>
      <c r="J92" s="13">
        <f>$F92*$J$8-283</f>
        <v>974000</v>
      </c>
      <c r="K92" s="13">
        <f>$F92*$K$8+245</f>
        <v>1007000</v>
      </c>
      <c r="L92" s="13">
        <f>$F92*$L$8-412</f>
        <v>1030000</v>
      </c>
      <c r="M92" s="13">
        <f t="shared" si="21"/>
        <v>1068489</v>
      </c>
      <c r="N92" s="13">
        <f t="shared" si="25"/>
        <v>1100000</v>
      </c>
      <c r="O92" s="13">
        <f t="shared" si="24"/>
        <v>1127000</v>
      </c>
      <c r="P92" s="13">
        <f t="shared" si="12"/>
        <v>1159000</v>
      </c>
      <c r="Q92" s="13">
        <f t="shared" si="22"/>
        <v>1220000</v>
      </c>
      <c r="R92" s="13">
        <f t="shared" si="13"/>
        <v>1306000</v>
      </c>
      <c r="S92" s="13">
        <f t="shared" si="14"/>
        <v>1359000</v>
      </c>
      <c r="T92" s="13">
        <f t="shared" si="23"/>
        <v>1405000</v>
      </c>
      <c r="U92" s="13">
        <f t="shared" si="15"/>
        <v>1460000</v>
      </c>
      <c r="V92" s="13">
        <f t="shared" si="16"/>
        <v>1489000</v>
      </c>
      <c r="W92" s="13">
        <f t="shared" si="17"/>
        <v>1558000</v>
      </c>
    </row>
    <row r="93" spans="2:23" ht="30" customHeight="1" x14ac:dyDescent="0.2">
      <c r="M93" s="13"/>
      <c r="N93" s="13"/>
      <c r="O93" s="13">
        <f t="shared" si="24"/>
        <v>0</v>
      </c>
      <c r="P93" s="13">
        <f t="shared" si="12"/>
        <v>0</v>
      </c>
      <c r="Q93" s="13"/>
      <c r="R93" s="13">
        <f t="shared" si="13"/>
        <v>0</v>
      </c>
      <c r="S93" s="13">
        <f t="shared" si="14"/>
        <v>0</v>
      </c>
      <c r="T93" s="13">
        <f t="shared" si="23"/>
        <v>0</v>
      </c>
      <c r="U93" s="13">
        <f t="shared" si="15"/>
        <v>0</v>
      </c>
      <c r="V93" s="13">
        <f t="shared" si="16"/>
        <v>0</v>
      </c>
      <c r="W93" s="13">
        <f t="shared" si="17"/>
        <v>0</v>
      </c>
    </row>
    <row r="94" spans="2:23" ht="30" customHeight="1" x14ac:dyDescent="0.2">
      <c r="B94" s="9"/>
      <c r="C94" s="19"/>
      <c r="D94" s="19"/>
      <c r="E94" s="57"/>
      <c r="F94" s="11"/>
      <c r="G94" s="9"/>
      <c r="H94" s="9"/>
      <c r="I94" s="9"/>
      <c r="J94" s="9"/>
      <c r="K94" s="9"/>
      <c r="L94" s="9"/>
      <c r="M94" s="13"/>
      <c r="N94" s="13"/>
      <c r="O94" s="13">
        <f t="shared" si="24"/>
        <v>0</v>
      </c>
      <c r="P94" s="13">
        <f t="shared" si="12"/>
        <v>0</v>
      </c>
      <c r="Q94" s="13"/>
      <c r="R94" s="13">
        <f t="shared" si="13"/>
        <v>0</v>
      </c>
      <c r="S94" s="13">
        <f t="shared" si="14"/>
        <v>0</v>
      </c>
      <c r="T94" s="13">
        <f t="shared" si="23"/>
        <v>0</v>
      </c>
      <c r="U94" s="13">
        <f t="shared" si="15"/>
        <v>0</v>
      </c>
      <c r="V94" s="13">
        <f t="shared" si="16"/>
        <v>0</v>
      </c>
      <c r="W94" s="13">
        <f t="shared" si="17"/>
        <v>0</v>
      </c>
    </row>
    <row r="95" spans="2:23" ht="30" customHeight="1" x14ac:dyDescent="0.2">
      <c r="B95" s="9">
        <f>B92+1</f>
        <v>41</v>
      </c>
      <c r="C95" s="19" t="s">
        <v>138</v>
      </c>
      <c r="D95" s="19" t="s">
        <v>139</v>
      </c>
      <c r="E95" s="57"/>
      <c r="F95" s="14">
        <v>2500</v>
      </c>
      <c r="G95" s="12">
        <v>50060000</v>
      </c>
      <c r="H95" s="13">
        <f>F95*$H$8</f>
        <v>52435000</v>
      </c>
      <c r="I95" s="13">
        <f>F95*$I$8</f>
        <v>55135000</v>
      </c>
      <c r="J95" s="13">
        <f>$F95*$J$8+500</f>
        <v>59408000</v>
      </c>
      <c r="K95" s="13">
        <f>$F95*$K$8+500</f>
        <v>61388000</v>
      </c>
      <c r="L95" s="13">
        <f>$F95*$L$8</f>
        <v>62830000</v>
      </c>
      <c r="M95" s="13">
        <f t="shared" si="21"/>
        <v>65122980</v>
      </c>
      <c r="N95" s="13">
        <f t="shared" si="25"/>
        <v>67103000</v>
      </c>
      <c r="O95" s="13">
        <f t="shared" si="24"/>
        <v>68713000</v>
      </c>
      <c r="P95" s="13">
        <f t="shared" si="12"/>
        <v>70698000</v>
      </c>
      <c r="Q95" s="13">
        <f t="shared" si="22"/>
        <v>74383000</v>
      </c>
      <c r="R95" s="13">
        <f t="shared" si="13"/>
        <v>79648000</v>
      </c>
      <c r="S95" s="13">
        <f t="shared" si="14"/>
        <v>82890000</v>
      </c>
      <c r="T95" s="13">
        <f t="shared" si="23"/>
        <v>85675000</v>
      </c>
      <c r="U95" s="13">
        <f t="shared" si="15"/>
        <v>89018000</v>
      </c>
      <c r="V95" s="13">
        <f t="shared" si="16"/>
        <v>90770000</v>
      </c>
      <c r="W95" s="13">
        <f t="shared" si="17"/>
        <v>95010000</v>
      </c>
    </row>
    <row r="96" spans="2:23" ht="30" customHeight="1" x14ac:dyDescent="0.2">
      <c r="B96" s="9">
        <f>B95+1</f>
        <v>42</v>
      </c>
      <c r="C96" s="19" t="s">
        <v>140</v>
      </c>
      <c r="D96" s="19" t="s">
        <v>141</v>
      </c>
      <c r="E96" s="57"/>
      <c r="F96" s="14">
        <v>3300</v>
      </c>
      <c r="G96" s="12">
        <v>66888000</v>
      </c>
      <c r="H96" s="13">
        <f>F96*$H$8-200</f>
        <v>69214000</v>
      </c>
      <c r="I96" s="13">
        <f>F96*$I$8-200</f>
        <v>72778000</v>
      </c>
      <c r="J96" s="13">
        <f>$F96*$J$8+100</f>
        <v>78418000</v>
      </c>
      <c r="K96" s="13">
        <f>$F96*$K$8+500</f>
        <v>81032000</v>
      </c>
      <c r="L96" s="13">
        <f>$F96*$L$8</f>
        <v>82935600</v>
      </c>
      <c r="M96" s="13">
        <f t="shared" si="21"/>
        <v>85962180</v>
      </c>
      <c r="N96" s="13">
        <f t="shared" si="25"/>
        <v>88575000</v>
      </c>
      <c r="O96" s="13">
        <f t="shared" si="24"/>
        <v>90701000</v>
      </c>
      <c r="P96" s="13">
        <f t="shared" si="12"/>
        <v>93321000</v>
      </c>
      <c r="Q96" s="13">
        <f t="shared" si="22"/>
        <v>98185000</v>
      </c>
      <c r="R96" s="13">
        <f t="shared" si="13"/>
        <v>105135000</v>
      </c>
      <c r="S96" s="13">
        <f t="shared" si="14"/>
        <v>109415000</v>
      </c>
      <c r="T96" s="13">
        <f t="shared" si="23"/>
        <v>113091000</v>
      </c>
      <c r="U96" s="13">
        <f t="shared" si="15"/>
        <v>117503000</v>
      </c>
      <c r="V96" s="13">
        <f t="shared" si="16"/>
        <v>119816000</v>
      </c>
      <c r="W96" s="13">
        <f t="shared" si="17"/>
        <v>125413000</v>
      </c>
    </row>
    <row r="97" spans="2:23" ht="30" customHeight="1" x14ac:dyDescent="0.2">
      <c r="B97" s="9">
        <f>B96+1</f>
        <v>43</v>
      </c>
      <c r="C97" s="19" t="s">
        <v>142</v>
      </c>
      <c r="D97" s="19" t="s">
        <v>143</v>
      </c>
      <c r="E97" s="57"/>
      <c r="F97" s="11">
        <v>350</v>
      </c>
      <c r="G97" s="12">
        <v>7033000</v>
      </c>
      <c r="H97" s="13">
        <f>F97*$H$8+100</f>
        <v>7341000</v>
      </c>
      <c r="I97" s="13">
        <f>F97*$I$8+100</f>
        <v>7719000</v>
      </c>
      <c r="J97" s="13">
        <f>$F97*$J$8-50</f>
        <v>8317000</v>
      </c>
      <c r="K97" s="13">
        <f>$F97*$K$8-250</f>
        <v>8594000</v>
      </c>
      <c r="L97" s="13">
        <f>$F97*$L$8-200</f>
        <v>8796000</v>
      </c>
      <c r="M97" s="13">
        <f t="shared" si="21"/>
        <v>9117630</v>
      </c>
      <c r="N97" s="13">
        <f t="shared" si="25"/>
        <v>9394000</v>
      </c>
      <c r="O97" s="13">
        <f t="shared" si="24"/>
        <v>9620000</v>
      </c>
      <c r="P97" s="13">
        <f t="shared" si="12"/>
        <v>9898000</v>
      </c>
      <c r="Q97" s="13">
        <f t="shared" si="22"/>
        <v>10414000</v>
      </c>
      <c r="R97" s="13">
        <f t="shared" si="13"/>
        <v>11151000</v>
      </c>
      <c r="S97" s="13">
        <f t="shared" si="14"/>
        <v>11605000</v>
      </c>
      <c r="T97" s="13">
        <f t="shared" si="23"/>
        <v>11995000</v>
      </c>
      <c r="U97" s="13">
        <f t="shared" si="15"/>
        <v>12462000</v>
      </c>
      <c r="V97" s="13">
        <f t="shared" si="16"/>
        <v>12708000</v>
      </c>
      <c r="W97" s="13">
        <f t="shared" si="17"/>
        <v>13301000</v>
      </c>
    </row>
    <row r="98" spans="2:23" ht="30" customHeight="1" x14ac:dyDescent="0.2">
      <c r="B98" s="9"/>
      <c r="C98" s="19" t="s">
        <v>144</v>
      </c>
      <c r="D98" s="19" t="s">
        <v>145</v>
      </c>
      <c r="E98" s="57"/>
      <c r="F98" s="11">
        <v>410</v>
      </c>
      <c r="G98" s="12">
        <v>8205000</v>
      </c>
      <c r="H98" s="13">
        <f>F98*$H$8-340</f>
        <v>8599000</v>
      </c>
      <c r="I98" s="13">
        <f>F98*$I$8-140</f>
        <v>9042000</v>
      </c>
      <c r="J98" s="13">
        <f>$F98*$J$8+170</f>
        <v>9743000</v>
      </c>
      <c r="K98" s="13">
        <f>$F98*$K$8+450</f>
        <v>10068000</v>
      </c>
      <c r="L98" s="13">
        <f>$F98*$L$8-120</f>
        <v>10304000</v>
      </c>
      <c r="M98" s="13">
        <f t="shared" si="21"/>
        <v>10680570</v>
      </c>
      <c r="N98" s="13">
        <f t="shared" si="25"/>
        <v>11005000</v>
      </c>
      <c r="O98" s="13">
        <f t="shared" si="24"/>
        <v>11269000</v>
      </c>
      <c r="P98" s="13">
        <f t="shared" si="12"/>
        <v>11594000</v>
      </c>
      <c r="Q98" s="13">
        <f t="shared" si="22"/>
        <v>12199000</v>
      </c>
      <c r="R98" s="13">
        <f t="shared" si="13"/>
        <v>13062000</v>
      </c>
      <c r="S98" s="13">
        <f t="shared" si="14"/>
        <v>13594000</v>
      </c>
      <c r="T98" s="13">
        <f t="shared" si="23"/>
        <v>14051000</v>
      </c>
      <c r="U98" s="13">
        <f t="shared" si="15"/>
        <v>14599000</v>
      </c>
      <c r="V98" s="13">
        <f t="shared" si="16"/>
        <v>14886000</v>
      </c>
      <c r="W98" s="13">
        <f t="shared" si="17"/>
        <v>15582000</v>
      </c>
    </row>
    <row r="99" spans="2:23" ht="30" customHeight="1" x14ac:dyDescent="0.2">
      <c r="B99" s="9"/>
      <c r="C99" s="19" t="s">
        <v>146</v>
      </c>
      <c r="D99" s="19" t="s">
        <v>147</v>
      </c>
      <c r="E99" s="57"/>
      <c r="F99" s="11">
        <v>470</v>
      </c>
      <c r="G99" s="12">
        <v>9377000</v>
      </c>
      <c r="H99" s="13">
        <f>F99*$H$8+220</f>
        <v>9858000</v>
      </c>
      <c r="I99" s="13">
        <f>F99*$I$8-380</f>
        <v>10365000</v>
      </c>
      <c r="J99" s="13">
        <f>$F99*$J$8+390</f>
        <v>11169000</v>
      </c>
      <c r="K99" s="13">
        <f>$F99*$K$8+150</f>
        <v>11541000</v>
      </c>
      <c r="L99" s="13">
        <f>$F99*$L$8-40</f>
        <v>11812000</v>
      </c>
      <c r="M99" s="13">
        <f t="shared" si="21"/>
        <v>12243510</v>
      </c>
      <c r="N99" s="13">
        <f t="shared" si="25"/>
        <v>12615000</v>
      </c>
      <c r="O99" s="13">
        <f t="shared" si="24"/>
        <v>12918000</v>
      </c>
      <c r="P99" s="13">
        <f t="shared" si="12"/>
        <v>13291000</v>
      </c>
      <c r="Q99" s="13">
        <f t="shared" si="22"/>
        <v>13984000</v>
      </c>
      <c r="R99" s="13">
        <f t="shared" si="13"/>
        <v>14974000</v>
      </c>
      <c r="S99" s="13">
        <f t="shared" si="14"/>
        <v>15583000</v>
      </c>
      <c r="T99" s="13">
        <f t="shared" si="23"/>
        <v>16107000</v>
      </c>
      <c r="U99" s="13">
        <f t="shared" si="15"/>
        <v>16735000</v>
      </c>
      <c r="V99" s="13">
        <f t="shared" si="16"/>
        <v>17065000</v>
      </c>
      <c r="W99" s="13">
        <f t="shared" si="17"/>
        <v>17862000</v>
      </c>
    </row>
    <row r="100" spans="2:23" ht="30" customHeight="1" x14ac:dyDescent="0.2">
      <c r="B100" s="9"/>
      <c r="C100" s="19" t="s">
        <v>148</v>
      </c>
      <c r="D100" s="19" t="s">
        <v>149</v>
      </c>
      <c r="E100" s="57"/>
      <c r="F100" s="11">
        <v>530</v>
      </c>
      <c r="G100" s="12">
        <v>10549000</v>
      </c>
      <c r="H100" s="13">
        <f>F100*$H$8-220</f>
        <v>11116000</v>
      </c>
      <c r="I100" s="13">
        <f>F100*$I$8+380</f>
        <v>11689000</v>
      </c>
      <c r="J100" s="13">
        <f>$F100*$J$8-390</f>
        <v>12594000</v>
      </c>
      <c r="K100" s="13">
        <f>$F100*$K$8-150</f>
        <v>13014000</v>
      </c>
      <c r="L100" s="13">
        <f>$F100*$L$8+40</f>
        <v>13320000</v>
      </c>
      <c r="M100" s="13">
        <f t="shared" si="21"/>
        <v>13806450</v>
      </c>
      <c r="N100" s="13">
        <f t="shared" si="25"/>
        <v>14226000</v>
      </c>
      <c r="O100" s="13">
        <f t="shared" si="24"/>
        <v>14567000</v>
      </c>
      <c r="P100" s="13">
        <f t="shared" si="12"/>
        <v>14988000</v>
      </c>
      <c r="Q100" s="13">
        <f t="shared" si="22"/>
        <v>15769000</v>
      </c>
      <c r="R100" s="13">
        <f t="shared" si="13"/>
        <v>16885000</v>
      </c>
      <c r="S100" s="13">
        <f t="shared" si="14"/>
        <v>17573000</v>
      </c>
      <c r="T100" s="13">
        <f t="shared" si="23"/>
        <v>18163000</v>
      </c>
      <c r="U100" s="13">
        <f t="shared" si="15"/>
        <v>18872000</v>
      </c>
      <c r="V100" s="13">
        <f t="shared" si="16"/>
        <v>19243000</v>
      </c>
      <c r="W100" s="13">
        <f t="shared" si="17"/>
        <v>20142000</v>
      </c>
    </row>
    <row r="101" spans="2:23" ht="30" customHeight="1" x14ac:dyDescent="0.2">
      <c r="B101" s="9"/>
      <c r="C101" s="19" t="s">
        <v>150</v>
      </c>
      <c r="D101" s="19" t="s">
        <v>151</v>
      </c>
      <c r="E101" s="57"/>
      <c r="F101" s="11">
        <v>590</v>
      </c>
      <c r="G101" s="12">
        <v>11721000</v>
      </c>
      <c r="H101" s="13">
        <f>F101*$H$8+340</f>
        <v>12375000</v>
      </c>
      <c r="I101" s="13">
        <f>F101*$I$8+140</f>
        <v>13012000</v>
      </c>
      <c r="J101" s="13">
        <f>$F101*$J$8-170</f>
        <v>14020000</v>
      </c>
      <c r="K101" s="13">
        <f>$F101*$K$8-450</f>
        <v>14487000</v>
      </c>
      <c r="L101" s="13">
        <f>$F101*$L$8+120</f>
        <v>14828000</v>
      </c>
      <c r="M101" s="13">
        <f t="shared" si="21"/>
        <v>15369390</v>
      </c>
      <c r="N101" s="13">
        <f t="shared" si="25"/>
        <v>15836000</v>
      </c>
      <c r="O101" s="13">
        <f t="shared" si="24"/>
        <v>16216000</v>
      </c>
      <c r="P101" s="13">
        <f t="shared" si="12"/>
        <v>16685000</v>
      </c>
      <c r="Q101" s="13">
        <f t="shared" si="22"/>
        <v>17554000</v>
      </c>
      <c r="R101" s="13">
        <f t="shared" si="13"/>
        <v>18797000</v>
      </c>
      <c r="S101" s="13">
        <f t="shared" si="14"/>
        <v>19562000</v>
      </c>
      <c r="T101" s="13">
        <f t="shared" si="23"/>
        <v>20219000</v>
      </c>
      <c r="U101" s="13">
        <f t="shared" si="15"/>
        <v>21008000</v>
      </c>
      <c r="V101" s="13">
        <f t="shared" si="16"/>
        <v>21422000</v>
      </c>
      <c r="W101" s="13">
        <f t="shared" si="17"/>
        <v>22422000</v>
      </c>
    </row>
    <row r="102" spans="2:23" ht="30" customHeight="1" x14ac:dyDescent="0.2">
      <c r="B102" s="9"/>
      <c r="C102" s="19" t="s">
        <v>152</v>
      </c>
      <c r="D102" s="19" t="s">
        <v>153</v>
      </c>
      <c r="E102" s="57"/>
      <c r="F102" s="11">
        <v>650</v>
      </c>
      <c r="G102" s="12">
        <v>12893000</v>
      </c>
      <c r="H102" s="13">
        <f>F102*$H$8-100</f>
        <v>13633000</v>
      </c>
      <c r="I102" s="13">
        <f>F102*$I$8-100</f>
        <v>14335000</v>
      </c>
      <c r="J102" s="13">
        <f>$F102*$J$8+50</f>
        <v>15446000</v>
      </c>
      <c r="K102" s="13">
        <f>$F102*$K$8+250</f>
        <v>15961000</v>
      </c>
      <c r="L102" s="13">
        <f>$F102*$L$8+200</f>
        <v>16336000</v>
      </c>
      <c r="M102" s="13">
        <f t="shared" si="21"/>
        <v>16932330</v>
      </c>
      <c r="N102" s="13">
        <f t="shared" si="25"/>
        <v>17447000</v>
      </c>
      <c r="O102" s="13">
        <f t="shared" si="24"/>
        <v>17865000</v>
      </c>
      <c r="P102" s="13">
        <f t="shared" si="12"/>
        <v>18381000</v>
      </c>
      <c r="Q102" s="13">
        <f t="shared" si="22"/>
        <v>19339000</v>
      </c>
      <c r="R102" s="13">
        <f t="shared" si="13"/>
        <v>20708000</v>
      </c>
      <c r="S102" s="13">
        <f t="shared" si="14"/>
        <v>21551000</v>
      </c>
      <c r="T102" s="13">
        <f t="shared" si="23"/>
        <v>22276000</v>
      </c>
      <c r="U102" s="13">
        <f t="shared" si="15"/>
        <v>23145000</v>
      </c>
      <c r="V102" s="13">
        <f t="shared" si="16"/>
        <v>23600000</v>
      </c>
      <c r="W102" s="13">
        <f t="shared" si="17"/>
        <v>24703000</v>
      </c>
    </row>
    <row r="103" spans="2:23" ht="30" customHeight="1" x14ac:dyDescent="0.2">
      <c r="B103" s="9"/>
      <c r="C103" s="19" t="s">
        <v>154</v>
      </c>
      <c r="D103" s="19" t="s">
        <v>155</v>
      </c>
      <c r="E103" s="57"/>
      <c r="F103" s="11"/>
      <c r="G103" s="12"/>
      <c r="H103" s="13"/>
      <c r="I103" s="13"/>
      <c r="J103" s="13"/>
      <c r="K103" s="13"/>
      <c r="L103" s="13" t="s">
        <v>0</v>
      </c>
      <c r="M103" s="13"/>
      <c r="N103" s="13"/>
      <c r="O103" s="13">
        <f t="shared" si="24"/>
        <v>0</v>
      </c>
      <c r="P103" s="13">
        <f t="shared" si="12"/>
        <v>0</v>
      </c>
      <c r="Q103" s="13" t="s">
        <v>0</v>
      </c>
      <c r="R103" s="13">
        <f t="shared" si="13"/>
        <v>0</v>
      </c>
      <c r="S103" s="13">
        <f t="shared" si="14"/>
        <v>0</v>
      </c>
      <c r="T103" s="13">
        <f t="shared" si="23"/>
        <v>0</v>
      </c>
      <c r="U103" s="13">
        <f t="shared" si="15"/>
        <v>0</v>
      </c>
      <c r="V103" s="13">
        <f t="shared" si="16"/>
        <v>0</v>
      </c>
      <c r="W103" s="13">
        <f t="shared" si="17"/>
        <v>0</v>
      </c>
    </row>
    <row r="104" spans="2:23" ht="30" customHeight="1" x14ac:dyDescent="0.2">
      <c r="B104" s="9">
        <f>B97+1</f>
        <v>44</v>
      </c>
      <c r="C104" s="19" t="s">
        <v>156</v>
      </c>
      <c r="D104" s="19" t="s">
        <v>157</v>
      </c>
      <c r="E104" s="57"/>
      <c r="F104" s="11">
        <v>240</v>
      </c>
      <c r="G104" s="12">
        <v>4769000</v>
      </c>
      <c r="H104" s="13">
        <f>F104*$H$8+240</f>
        <v>5034000</v>
      </c>
      <c r="I104" s="13">
        <f>F104*$I$8+40</f>
        <v>5293000</v>
      </c>
      <c r="J104" s="13">
        <f>$F104*$J$8-120</f>
        <v>5703000</v>
      </c>
      <c r="K104" s="13">
        <f>$F104*$K$8-200</f>
        <v>5893000</v>
      </c>
      <c r="L104" s="13">
        <f>$F104*$L$8+320</f>
        <v>6032000</v>
      </c>
      <c r="M104" s="13">
        <f t="shared" si="21"/>
        <v>6252240</v>
      </c>
      <c r="N104" s="13">
        <f t="shared" si="25"/>
        <v>6442000</v>
      </c>
      <c r="O104" s="13">
        <f t="shared" si="24"/>
        <v>6596000</v>
      </c>
      <c r="P104" s="13">
        <f t="shared" si="12"/>
        <v>6787000</v>
      </c>
      <c r="Q104" s="13">
        <f t="shared" si="22"/>
        <v>7141000</v>
      </c>
      <c r="R104" s="13">
        <f t="shared" si="13"/>
        <v>7646000</v>
      </c>
      <c r="S104" s="13">
        <f t="shared" si="14"/>
        <v>7957000</v>
      </c>
      <c r="T104" s="13">
        <f t="shared" si="23"/>
        <v>8225000</v>
      </c>
      <c r="U104" s="13">
        <f t="shared" si="15"/>
        <v>8546000</v>
      </c>
      <c r="V104" s="13">
        <f t="shared" si="16"/>
        <v>8714000</v>
      </c>
      <c r="W104" s="13">
        <f t="shared" si="17"/>
        <v>9121000</v>
      </c>
    </row>
    <row r="105" spans="2:23" ht="30" customHeight="1" x14ac:dyDescent="0.2">
      <c r="B105" s="9">
        <f t="shared" ref="B105:B110" si="26">B104+1</f>
        <v>45</v>
      </c>
      <c r="C105" s="19" t="s">
        <v>158</v>
      </c>
      <c r="D105" s="19" t="s">
        <v>159</v>
      </c>
      <c r="E105" s="57"/>
      <c r="F105" s="14">
        <v>1200</v>
      </c>
      <c r="G105" s="12">
        <v>23442000</v>
      </c>
      <c r="H105" s="13">
        <f>F105*$H$8+200</f>
        <v>25169000</v>
      </c>
      <c r="I105" s="13">
        <f>F105*$I$8+200</f>
        <v>26465000</v>
      </c>
      <c r="J105" s="13">
        <f>$F105*$J$8+400</f>
        <v>28516000</v>
      </c>
      <c r="K105" s="13">
        <f>$F105*$K$8</f>
        <v>29466000</v>
      </c>
      <c r="L105" s="13">
        <f>$F105*$L$8-400</f>
        <v>30158000</v>
      </c>
      <c r="M105" s="13">
        <f t="shared" si="21"/>
        <v>31259280</v>
      </c>
      <c r="N105" s="13">
        <f t="shared" si="25"/>
        <v>32209000</v>
      </c>
      <c r="O105" s="13">
        <f t="shared" si="24"/>
        <v>32982000</v>
      </c>
      <c r="P105" s="13">
        <f t="shared" si="12"/>
        <v>33935000</v>
      </c>
      <c r="Q105" s="13">
        <f t="shared" si="22"/>
        <v>35704000</v>
      </c>
      <c r="R105" s="13">
        <f t="shared" si="13"/>
        <v>38231000</v>
      </c>
      <c r="S105" s="13">
        <f t="shared" si="14"/>
        <v>39787000</v>
      </c>
      <c r="T105" s="13">
        <f t="shared" si="23"/>
        <v>41124000</v>
      </c>
      <c r="U105" s="13">
        <f t="shared" si="15"/>
        <v>42728000</v>
      </c>
      <c r="V105" s="13">
        <f t="shared" si="16"/>
        <v>43570000</v>
      </c>
      <c r="W105" s="13">
        <f t="shared" si="17"/>
        <v>45605000</v>
      </c>
    </row>
    <row r="106" spans="2:23" ht="30" customHeight="1" x14ac:dyDescent="0.2">
      <c r="B106" s="9">
        <f t="shared" si="26"/>
        <v>46</v>
      </c>
      <c r="C106" s="19" t="s">
        <v>160</v>
      </c>
      <c r="D106" s="19" t="s">
        <v>161</v>
      </c>
      <c r="E106" s="57"/>
      <c r="F106" s="14">
        <v>1200</v>
      </c>
      <c r="G106" s="12">
        <v>23442000</v>
      </c>
      <c r="H106" s="13">
        <f>F106*$H$8+200</f>
        <v>25169000</v>
      </c>
      <c r="I106" s="13">
        <f>F106*$I$8+200</f>
        <v>26465000</v>
      </c>
      <c r="J106" s="13">
        <f>$F106*$J$8+400</f>
        <v>28516000</v>
      </c>
      <c r="K106" s="13">
        <f>$F106*$K$8</f>
        <v>29466000</v>
      </c>
      <c r="L106" s="13">
        <f>$F106*$L$8-400</f>
        <v>30158000</v>
      </c>
      <c r="M106" s="13">
        <f t="shared" si="21"/>
        <v>31259280</v>
      </c>
      <c r="N106" s="13">
        <f t="shared" si="25"/>
        <v>32209000</v>
      </c>
      <c r="O106" s="13">
        <f t="shared" si="24"/>
        <v>32982000</v>
      </c>
      <c r="P106" s="13">
        <f t="shared" si="12"/>
        <v>33935000</v>
      </c>
      <c r="Q106" s="13">
        <f t="shared" si="22"/>
        <v>35704000</v>
      </c>
      <c r="R106" s="13">
        <f t="shared" si="13"/>
        <v>38231000</v>
      </c>
      <c r="S106" s="13">
        <f t="shared" si="14"/>
        <v>39787000</v>
      </c>
      <c r="T106" s="13">
        <f t="shared" si="23"/>
        <v>41124000</v>
      </c>
      <c r="U106" s="13">
        <f t="shared" si="15"/>
        <v>42728000</v>
      </c>
      <c r="V106" s="13">
        <f t="shared" si="16"/>
        <v>43570000</v>
      </c>
      <c r="W106" s="13">
        <f t="shared" si="17"/>
        <v>45605000</v>
      </c>
    </row>
    <row r="107" spans="2:23" ht="30" customHeight="1" x14ac:dyDescent="0.2">
      <c r="B107" s="9">
        <f t="shared" si="26"/>
        <v>47</v>
      </c>
      <c r="C107" s="19" t="s">
        <v>162</v>
      </c>
      <c r="D107" s="19" t="s">
        <v>163</v>
      </c>
      <c r="E107" s="57"/>
      <c r="F107" s="14">
        <v>30000</v>
      </c>
      <c r="G107" s="12">
        <v>595135000</v>
      </c>
      <c r="H107" s="13">
        <f>F107*$H$8</f>
        <v>629220000</v>
      </c>
      <c r="I107" s="13">
        <f>F107*$I$8</f>
        <v>661620000</v>
      </c>
      <c r="J107" s="13">
        <f>$F107*$J$8</f>
        <v>712890000</v>
      </c>
      <c r="K107" s="13">
        <f>$F107*$K$8</f>
        <v>736650000</v>
      </c>
      <c r="L107" s="13">
        <f>$F107*$L$8</f>
        <v>753960000</v>
      </c>
      <c r="M107" s="13">
        <f t="shared" si="21"/>
        <v>781470480</v>
      </c>
      <c r="N107" s="13">
        <f t="shared" si="25"/>
        <v>805230000</v>
      </c>
      <c r="O107" s="13">
        <f t="shared" si="24"/>
        <v>824550000</v>
      </c>
      <c r="P107" s="13">
        <f t="shared" si="12"/>
        <v>848370000</v>
      </c>
      <c r="Q107" s="13">
        <f t="shared" si="22"/>
        <v>892590000</v>
      </c>
      <c r="R107" s="13">
        <f t="shared" si="13"/>
        <v>955770000</v>
      </c>
      <c r="S107" s="13">
        <f t="shared" si="14"/>
        <v>994680000</v>
      </c>
      <c r="T107" s="13">
        <f t="shared" si="23"/>
        <v>1028100000</v>
      </c>
      <c r="U107" s="13">
        <f t="shared" si="15"/>
        <v>1068210000</v>
      </c>
      <c r="V107" s="13">
        <f t="shared" si="16"/>
        <v>1089240000</v>
      </c>
      <c r="W107" s="13">
        <f t="shared" si="17"/>
        <v>1140120000</v>
      </c>
    </row>
    <row r="108" spans="2:23" ht="30" customHeight="1" x14ac:dyDescent="0.2">
      <c r="B108" s="9">
        <f t="shared" si="26"/>
        <v>48</v>
      </c>
      <c r="C108" s="19" t="s">
        <v>164</v>
      </c>
      <c r="D108" s="19" t="s">
        <v>165</v>
      </c>
      <c r="E108" s="57"/>
      <c r="F108" s="14">
        <v>4600</v>
      </c>
      <c r="G108" s="12">
        <v>92552000</v>
      </c>
      <c r="H108" s="13">
        <f>F108*$H$8-400</f>
        <v>96480000</v>
      </c>
      <c r="I108" s="13">
        <f>F108*$I$8-400</f>
        <v>101448000</v>
      </c>
      <c r="J108" s="13">
        <f>$F108*$J$8+200</f>
        <v>109310000</v>
      </c>
      <c r="K108" s="13">
        <f>$F108*$K$8</f>
        <v>112953000</v>
      </c>
      <c r="L108" s="13">
        <f>$F108*$L$8-200</f>
        <v>115607000</v>
      </c>
      <c r="M108" s="13">
        <f t="shared" si="21"/>
        <v>119825880</v>
      </c>
      <c r="N108" s="13">
        <f t="shared" si="25"/>
        <v>123469000</v>
      </c>
      <c r="O108" s="13">
        <f t="shared" si="24"/>
        <v>126431000</v>
      </c>
      <c r="P108" s="13">
        <f t="shared" si="12"/>
        <v>130083000</v>
      </c>
      <c r="Q108" s="13">
        <f t="shared" si="22"/>
        <v>136864000</v>
      </c>
      <c r="R108" s="13">
        <f t="shared" si="13"/>
        <v>146551000</v>
      </c>
      <c r="S108" s="13">
        <f t="shared" si="14"/>
        <v>152518000</v>
      </c>
      <c r="T108" s="13">
        <f t="shared" si="23"/>
        <v>157642000</v>
      </c>
      <c r="U108" s="13">
        <f t="shared" si="15"/>
        <v>163792000</v>
      </c>
      <c r="V108" s="13">
        <f t="shared" si="16"/>
        <v>167017000</v>
      </c>
      <c r="W108" s="13">
        <f t="shared" si="17"/>
        <v>174818000</v>
      </c>
    </row>
    <row r="109" spans="2:23" ht="30" customHeight="1" x14ac:dyDescent="0.2">
      <c r="B109" s="9">
        <f t="shared" si="26"/>
        <v>49</v>
      </c>
      <c r="C109" s="19" t="s">
        <v>166</v>
      </c>
      <c r="D109" s="19" t="s">
        <v>167</v>
      </c>
      <c r="E109" s="57"/>
      <c r="F109" s="11">
        <v>5</v>
      </c>
      <c r="G109" s="12">
        <v>95000</v>
      </c>
      <c r="H109" s="13">
        <f>F109*$H$8+130</f>
        <v>105000</v>
      </c>
      <c r="I109" s="13">
        <f>F109*$I$8-270</f>
        <v>110000</v>
      </c>
      <c r="J109" s="13">
        <f>$F109*$J$8+185</f>
        <v>119000</v>
      </c>
      <c r="K109" s="13">
        <f>$F109*$K$8+225</f>
        <v>123000</v>
      </c>
      <c r="L109" s="13">
        <f>$F109*$L$8+340</f>
        <v>126000</v>
      </c>
      <c r="M109" s="13">
        <f t="shared" si="21"/>
        <v>130725</v>
      </c>
      <c r="N109" s="13">
        <f t="shared" si="25"/>
        <v>134000</v>
      </c>
      <c r="O109" s="13">
        <f t="shared" si="24"/>
        <v>137000</v>
      </c>
      <c r="P109" s="13">
        <f t="shared" si="12"/>
        <v>141000</v>
      </c>
      <c r="Q109" s="13">
        <f t="shared" si="22"/>
        <v>149000</v>
      </c>
      <c r="R109" s="13">
        <f t="shared" si="13"/>
        <v>159000</v>
      </c>
      <c r="S109" s="13">
        <f t="shared" si="14"/>
        <v>166000</v>
      </c>
      <c r="T109" s="13">
        <f t="shared" si="23"/>
        <v>171000</v>
      </c>
      <c r="U109" s="13">
        <f t="shared" si="15"/>
        <v>178000</v>
      </c>
      <c r="V109" s="13">
        <f t="shared" si="16"/>
        <v>182000</v>
      </c>
      <c r="W109" s="13">
        <f t="shared" si="17"/>
        <v>190000</v>
      </c>
    </row>
    <row r="110" spans="2:23" ht="30" customHeight="1" x14ac:dyDescent="0.2">
      <c r="B110" s="9">
        <f t="shared" si="26"/>
        <v>50</v>
      </c>
      <c r="C110" s="19" t="s">
        <v>168</v>
      </c>
      <c r="D110" s="19" t="s">
        <v>169</v>
      </c>
      <c r="E110" s="57"/>
      <c r="F110" s="11">
        <v>48</v>
      </c>
      <c r="G110" s="12">
        <v>952000</v>
      </c>
      <c r="H110" s="13">
        <f>F110*$H$8+248</f>
        <v>1007000</v>
      </c>
      <c r="I110" s="13">
        <f>F110*$I$8+408</f>
        <v>1059000</v>
      </c>
      <c r="J110" s="13">
        <f>$F110*$J$8+376</f>
        <v>1141000</v>
      </c>
      <c r="K110" s="13">
        <f>$F110*$K$8+360</f>
        <v>1179000</v>
      </c>
      <c r="L110" s="13">
        <f>$F110*$L$8-336</f>
        <v>1206000</v>
      </c>
      <c r="M110" s="13">
        <f t="shared" si="21"/>
        <v>1250832</v>
      </c>
      <c r="N110" s="13">
        <f t="shared" si="25"/>
        <v>1288000</v>
      </c>
      <c r="O110" s="13">
        <f t="shared" si="24"/>
        <v>1319000</v>
      </c>
      <c r="P110" s="13">
        <f t="shared" si="12"/>
        <v>1357000</v>
      </c>
      <c r="Q110" s="13">
        <f t="shared" si="22"/>
        <v>1428000</v>
      </c>
      <c r="R110" s="13">
        <f t="shared" si="13"/>
        <v>1529000</v>
      </c>
      <c r="S110" s="13">
        <f t="shared" si="14"/>
        <v>1591000</v>
      </c>
      <c r="T110" s="13">
        <f t="shared" si="23"/>
        <v>1645000</v>
      </c>
      <c r="U110" s="13">
        <f t="shared" si="15"/>
        <v>1709000</v>
      </c>
      <c r="V110" s="13">
        <f t="shared" si="16"/>
        <v>1743000</v>
      </c>
      <c r="W110" s="13">
        <f t="shared" si="17"/>
        <v>1824000</v>
      </c>
    </row>
    <row r="111" spans="2:23" ht="30" customHeight="1" x14ac:dyDescent="0.2">
      <c r="B111" s="9"/>
      <c r="C111" s="19" t="s">
        <v>170</v>
      </c>
      <c r="D111" s="19"/>
      <c r="E111" s="57"/>
      <c r="F111" s="9"/>
      <c r="G111" s="9"/>
      <c r="H111" s="9"/>
      <c r="I111" s="9"/>
      <c r="J111" s="9"/>
      <c r="K111" s="9"/>
      <c r="L111" s="13" t="s">
        <v>0</v>
      </c>
      <c r="M111" s="13"/>
      <c r="N111" s="13"/>
      <c r="O111" s="13">
        <f t="shared" si="24"/>
        <v>0</v>
      </c>
      <c r="P111" s="13">
        <f t="shared" si="12"/>
        <v>0</v>
      </c>
      <c r="Q111" s="13" t="s">
        <v>0</v>
      </c>
      <c r="R111" s="13">
        <f t="shared" si="13"/>
        <v>0</v>
      </c>
      <c r="S111" s="13">
        <f t="shared" si="14"/>
        <v>0</v>
      </c>
      <c r="T111" s="13">
        <f t="shared" si="23"/>
        <v>0</v>
      </c>
      <c r="U111" s="13">
        <f t="shared" si="15"/>
        <v>0</v>
      </c>
      <c r="V111" s="13">
        <f t="shared" si="16"/>
        <v>0</v>
      </c>
      <c r="W111" s="13">
        <f t="shared" si="17"/>
        <v>0</v>
      </c>
    </row>
    <row r="112" spans="2:23" ht="30" customHeight="1" x14ac:dyDescent="0.2">
      <c r="B112" s="9">
        <f>B110+1</f>
        <v>51</v>
      </c>
      <c r="C112" s="19" t="s">
        <v>133</v>
      </c>
      <c r="D112" s="19" t="s">
        <v>171</v>
      </c>
      <c r="E112" s="57"/>
      <c r="F112" s="14">
        <v>180000</v>
      </c>
      <c r="G112" s="12">
        <v>3576812000</v>
      </c>
      <c r="H112" s="13">
        <f>F112*$H$8</f>
        <v>3775320000</v>
      </c>
      <c r="I112" s="13">
        <f>F112*$I$8</f>
        <v>3969720000</v>
      </c>
      <c r="J112" s="13">
        <f>$F112*$J$8</f>
        <v>4277340000</v>
      </c>
      <c r="K112" s="13">
        <f>$F112*$K$8</f>
        <v>4419900000</v>
      </c>
      <c r="L112" s="13">
        <f>$F112*$L$8</f>
        <v>4523760000</v>
      </c>
      <c r="M112" s="13">
        <f t="shared" si="21"/>
        <v>4688820480</v>
      </c>
      <c r="N112" s="13">
        <f t="shared" si="25"/>
        <v>4831380000</v>
      </c>
      <c r="O112" s="13">
        <f t="shared" si="24"/>
        <v>4947300000</v>
      </c>
      <c r="P112" s="13">
        <f t="shared" si="12"/>
        <v>5090220000</v>
      </c>
      <c r="Q112" s="13">
        <f t="shared" si="22"/>
        <v>5355540000</v>
      </c>
      <c r="R112" s="13">
        <f t="shared" si="13"/>
        <v>5734620000</v>
      </c>
      <c r="S112" s="13">
        <f t="shared" si="14"/>
        <v>5968080000</v>
      </c>
      <c r="T112" s="13">
        <f t="shared" si="23"/>
        <v>6168600000</v>
      </c>
      <c r="U112" s="13">
        <f t="shared" si="15"/>
        <v>6409260000</v>
      </c>
      <c r="V112" s="13">
        <f t="shared" si="16"/>
        <v>6535440000</v>
      </c>
      <c r="W112" s="13">
        <f t="shared" si="17"/>
        <v>6840720000</v>
      </c>
    </row>
    <row r="113" spans="2:23" ht="30" customHeight="1" x14ac:dyDescent="0.2">
      <c r="B113" s="9"/>
      <c r="C113" s="19" t="s">
        <v>16</v>
      </c>
      <c r="D113" s="19" t="s">
        <v>172</v>
      </c>
      <c r="E113" s="57"/>
      <c r="F113" s="14">
        <v>30000</v>
      </c>
      <c r="G113" s="12">
        <v>596135000</v>
      </c>
      <c r="H113" s="13">
        <f>F113*$H$8</f>
        <v>629220000</v>
      </c>
      <c r="I113" s="13">
        <f>F113*$I$8</f>
        <v>661620000</v>
      </c>
      <c r="J113" s="13">
        <f>$F113*$J$8</f>
        <v>712890000</v>
      </c>
      <c r="K113" s="13">
        <f>$F113*$K$8</f>
        <v>736650000</v>
      </c>
      <c r="L113" s="13">
        <f>$F113*$L$8</f>
        <v>753960000</v>
      </c>
      <c r="M113" s="13">
        <f t="shared" si="21"/>
        <v>781470480</v>
      </c>
      <c r="N113" s="13">
        <f t="shared" si="25"/>
        <v>805230000</v>
      </c>
      <c r="O113" s="13">
        <f t="shared" si="24"/>
        <v>824550000</v>
      </c>
      <c r="P113" s="13">
        <f t="shared" si="12"/>
        <v>848370000</v>
      </c>
      <c r="Q113" s="13">
        <f t="shared" si="22"/>
        <v>892590000</v>
      </c>
      <c r="R113" s="13">
        <f t="shared" si="13"/>
        <v>955770000</v>
      </c>
      <c r="S113" s="13">
        <f t="shared" si="14"/>
        <v>994680000</v>
      </c>
      <c r="T113" s="13">
        <f t="shared" si="23"/>
        <v>1028100000</v>
      </c>
      <c r="U113" s="13">
        <f t="shared" si="15"/>
        <v>1068210000</v>
      </c>
      <c r="V113" s="13">
        <f t="shared" si="16"/>
        <v>1089240000</v>
      </c>
      <c r="W113" s="13">
        <f t="shared" si="17"/>
        <v>1140120000</v>
      </c>
    </row>
    <row r="114" spans="2:23" ht="30" customHeight="1" x14ac:dyDescent="0.2">
      <c r="B114" s="9"/>
      <c r="C114" s="19" t="s">
        <v>94</v>
      </c>
      <c r="D114" s="19" t="s">
        <v>173</v>
      </c>
      <c r="E114" s="57"/>
      <c r="F114" s="14">
        <v>60000</v>
      </c>
      <c r="G114" s="12">
        <v>1192271000</v>
      </c>
      <c r="H114" s="13">
        <f>F114*$H$8</f>
        <v>1258440000</v>
      </c>
      <c r="I114" s="13">
        <f>F114*$I$8</f>
        <v>1323240000</v>
      </c>
      <c r="J114" s="13">
        <f>$F114*$J$8</f>
        <v>1425780000</v>
      </c>
      <c r="K114" s="13">
        <f>$F114*$K$8</f>
        <v>1473300000</v>
      </c>
      <c r="L114" s="13">
        <f>$F114*$L$8</f>
        <v>1507920000</v>
      </c>
      <c r="M114" s="13">
        <f t="shared" si="21"/>
        <v>1562940480</v>
      </c>
      <c r="N114" s="13">
        <f t="shared" si="25"/>
        <v>1610460000</v>
      </c>
      <c r="O114" s="13">
        <f t="shared" si="24"/>
        <v>1649100000</v>
      </c>
      <c r="P114" s="13">
        <f t="shared" si="12"/>
        <v>1696740000</v>
      </c>
      <c r="Q114" s="13">
        <f t="shared" si="22"/>
        <v>1785180000</v>
      </c>
      <c r="R114" s="13">
        <f t="shared" si="13"/>
        <v>1911540000</v>
      </c>
      <c r="S114" s="13">
        <f t="shared" si="14"/>
        <v>1989360000</v>
      </c>
      <c r="T114" s="13">
        <f t="shared" si="23"/>
        <v>2056200000</v>
      </c>
      <c r="U114" s="13">
        <f t="shared" si="15"/>
        <v>2136420000</v>
      </c>
      <c r="V114" s="13">
        <f t="shared" si="16"/>
        <v>2178480000</v>
      </c>
      <c r="W114" s="13">
        <f t="shared" si="17"/>
        <v>2280240000</v>
      </c>
    </row>
    <row r="115" spans="2:23" ht="30" customHeight="1" x14ac:dyDescent="0.2">
      <c r="B115" s="9">
        <f>B112+1</f>
        <v>52</v>
      </c>
      <c r="C115" s="19" t="s">
        <v>174</v>
      </c>
      <c r="D115" s="19"/>
      <c r="E115" s="57"/>
      <c r="F115" s="11"/>
      <c r="G115" s="9"/>
      <c r="H115" s="9"/>
      <c r="I115" s="9"/>
      <c r="J115" s="9"/>
      <c r="K115" s="9"/>
      <c r="L115" s="13" t="s">
        <v>0</v>
      </c>
      <c r="M115" s="13"/>
      <c r="N115" s="13"/>
      <c r="O115" s="13">
        <f t="shared" si="24"/>
        <v>0</v>
      </c>
      <c r="P115" s="13">
        <f t="shared" si="12"/>
        <v>0</v>
      </c>
      <c r="Q115" s="13" t="s">
        <v>0</v>
      </c>
      <c r="R115" s="13">
        <f t="shared" si="13"/>
        <v>0</v>
      </c>
      <c r="S115" s="13">
        <f t="shared" si="14"/>
        <v>0</v>
      </c>
      <c r="T115" s="13">
        <f t="shared" si="23"/>
        <v>0</v>
      </c>
      <c r="U115" s="13">
        <f t="shared" si="15"/>
        <v>0</v>
      </c>
      <c r="V115" s="13">
        <f t="shared" si="16"/>
        <v>0</v>
      </c>
      <c r="W115" s="13">
        <f t="shared" si="17"/>
        <v>0</v>
      </c>
    </row>
    <row r="116" spans="2:23" ht="30" customHeight="1" x14ac:dyDescent="0.2">
      <c r="B116" s="9"/>
      <c r="C116" s="19" t="s">
        <v>175</v>
      </c>
      <c r="D116" s="19" t="s">
        <v>176</v>
      </c>
      <c r="E116" s="57"/>
      <c r="F116" s="14">
        <v>3300</v>
      </c>
      <c r="G116" s="12">
        <v>66888000</v>
      </c>
      <c r="H116" s="13">
        <f>F116*$H$8-200</f>
        <v>69214000</v>
      </c>
      <c r="I116" s="13">
        <f>F116*$I$8-200</f>
        <v>72778000</v>
      </c>
      <c r="J116" s="13">
        <f>$F116*$J$8+100</f>
        <v>78418000</v>
      </c>
      <c r="K116" s="13">
        <f>$F116*$K$8+500</f>
        <v>81032000</v>
      </c>
      <c r="L116" s="13">
        <f>$F116*$L$8+400</f>
        <v>82936000</v>
      </c>
      <c r="M116" s="13">
        <f t="shared" si="21"/>
        <v>85962180</v>
      </c>
      <c r="N116" s="13">
        <f t="shared" si="25"/>
        <v>88575000</v>
      </c>
      <c r="O116" s="13">
        <f t="shared" si="24"/>
        <v>90701000</v>
      </c>
      <c r="P116" s="13">
        <f t="shared" si="12"/>
        <v>93321000</v>
      </c>
      <c r="Q116" s="13">
        <f t="shared" si="22"/>
        <v>98185000</v>
      </c>
      <c r="R116" s="13">
        <f t="shared" si="13"/>
        <v>105135000</v>
      </c>
      <c r="S116" s="13">
        <f t="shared" si="14"/>
        <v>109415000</v>
      </c>
      <c r="T116" s="13">
        <f t="shared" si="23"/>
        <v>113091000</v>
      </c>
      <c r="U116" s="13">
        <f t="shared" si="15"/>
        <v>117503000</v>
      </c>
      <c r="V116" s="13">
        <f t="shared" si="16"/>
        <v>119816000</v>
      </c>
      <c r="W116" s="13">
        <f t="shared" si="17"/>
        <v>125413000</v>
      </c>
    </row>
    <row r="117" spans="2:23" ht="30" customHeight="1" x14ac:dyDescent="0.2">
      <c r="B117" s="9"/>
      <c r="C117" s="19" t="s">
        <v>177</v>
      </c>
      <c r="D117" s="19" t="s">
        <v>176</v>
      </c>
      <c r="E117" s="57"/>
      <c r="F117" s="14">
        <v>4500</v>
      </c>
      <c r="G117" s="12">
        <v>89183000</v>
      </c>
      <c r="H117" s="13">
        <f>F117*$H$8</f>
        <v>94383000</v>
      </c>
      <c r="I117" s="13">
        <f>F117*$I$8</f>
        <v>99243000</v>
      </c>
      <c r="J117" s="13">
        <f>$F117*$J$8+500</f>
        <v>106934000</v>
      </c>
      <c r="K117" s="13">
        <f>$F117*$K$8+500</f>
        <v>110498000</v>
      </c>
      <c r="L117" s="13">
        <f>$F117*$L$8</f>
        <v>113094000</v>
      </c>
      <c r="M117" s="13">
        <f t="shared" si="21"/>
        <v>117220980</v>
      </c>
      <c r="N117" s="13">
        <f t="shared" si="25"/>
        <v>120785000</v>
      </c>
      <c r="O117" s="13">
        <f t="shared" si="24"/>
        <v>123683000</v>
      </c>
      <c r="P117" s="13">
        <f t="shared" si="12"/>
        <v>127256000</v>
      </c>
      <c r="Q117" s="13">
        <f t="shared" si="22"/>
        <v>133889000</v>
      </c>
      <c r="R117" s="13">
        <f t="shared" si="13"/>
        <v>143366000</v>
      </c>
      <c r="S117" s="13">
        <f t="shared" si="14"/>
        <v>149202000</v>
      </c>
      <c r="T117" s="13">
        <f t="shared" si="23"/>
        <v>154215000</v>
      </c>
      <c r="U117" s="13">
        <f t="shared" si="15"/>
        <v>160232000</v>
      </c>
      <c r="V117" s="13">
        <f t="shared" si="16"/>
        <v>163386000</v>
      </c>
      <c r="W117" s="13">
        <f t="shared" si="17"/>
        <v>171018000</v>
      </c>
    </row>
    <row r="118" spans="2:23" ht="30" customHeight="1" x14ac:dyDescent="0.2">
      <c r="B118" s="9"/>
      <c r="C118" s="19" t="s">
        <v>178</v>
      </c>
      <c r="D118" s="19" t="s">
        <v>179</v>
      </c>
      <c r="E118" s="57"/>
      <c r="F118" s="14">
        <v>3300</v>
      </c>
      <c r="G118" s="12">
        <v>66888000</v>
      </c>
      <c r="H118" s="13">
        <f>F118*$H$8-200</f>
        <v>69214000</v>
      </c>
      <c r="I118" s="13">
        <f>F118*$I$8-200</f>
        <v>72778000</v>
      </c>
      <c r="J118" s="13">
        <f>$F118*$J$8+100</f>
        <v>78418000</v>
      </c>
      <c r="K118" s="13">
        <f>$F118*$K$8+500</f>
        <v>81032000</v>
      </c>
      <c r="L118" s="13">
        <f>$F118*$L$8+400</f>
        <v>82936000</v>
      </c>
      <c r="M118" s="13">
        <f t="shared" si="21"/>
        <v>85962180</v>
      </c>
      <c r="N118" s="13">
        <f t="shared" si="25"/>
        <v>88575000</v>
      </c>
      <c r="O118" s="13">
        <f t="shared" si="24"/>
        <v>90701000</v>
      </c>
      <c r="P118" s="13">
        <f t="shared" si="12"/>
        <v>93321000</v>
      </c>
      <c r="Q118" s="13">
        <f t="shared" si="22"/>
        <v>98185000</v>
      </c>
      <c r="R118" s="13">
        <f t="shared" si="13"/>
        <v>105135000</v>
      </c>
      <c r="S118" s="13">
        <f t="shared" si="14"/>
        <v>109415000</v>
      </c>
      <c r="T118" s="13">
        <f t="shared" si="23"/>
        <v>113091000</v>
      </c>
      <c r="U118" s="13">
        <f t="shared" si="15"/>
        <v>117503000</v>
      </c>
      <c r="V118" s="13">
        <f t="shared" si="16"/>
        <v>119816000</v>
      </c>
      <c r="W118" s="13">
        <f t="shared" si="17"/>
        <v>125413000</v>
      </c>
    </row>
    <row r="119" spans="2:23" ht="30" customHeight="1" x14ac:dyDescent="0.2">
      <c r="B119" s="9">
        <f>B115+1</f>
        <v>53</v>
      </c>
      <c r="C119" s="19" t="s">
        <v>180</v>
      </c>
      <c r="D119" s="19"/>
      <c r="E119" s="57"/>
      <c r="F119" s="11"/>
      <c r="G119" s="9"/>
      <c r="H119" s="9"/>
      <c r="I119" s="9"/>
      <c r="J119" s="9"/>
      <c r="K119" s="9"/>
      <c r="L119" s="13" t="s">
        <v>0</v>
      </c>
      <c r="M119" s="13" t="s">
        <v>0</v>
      </c>
      <c r="N119" s="13" t="s">
        <v>0</v>
      </c>
      <c r="O119" s="13">
        <f t="shared" si="24"/>
        <v>0</v>
      </c>
      <c r="P119" s="13">
        <f t="shared" si="12"/>
        <v>0</v>
      </c>
      <c r="Q119" s="13"/>
      <c r="R119" s="13">
        <f t="shared" si="13"/>
        <v>0</v>
      </c>
      <c r="S119" s="13">
        <f t="shared" si="14"/>
        <v>0</v>
      </c>
      <c r="T119" s="13">
        <f t="shared" si="23"/>
        <v>0</v>
      </c>
      <c r="U119" s="13">
        <f t="shared" si="15"/>
        <v>0</v>
      </c>
      <c r="V119" s="13">
        <f t="shared" si="16"/>
        <v>0</v>
      </c>
      <c r="W119" s="13">
        <f t="shared" si="17"/>
        <v>0</v>
      </c>
    </row>
    <row r="120" spans="2:23" ht="30" customHeight="1" x14ac:dyDescent="0.2">
      <c r="B120" s="9"/>
      <c r="C120" s="19" t="s">
        <v>181</v>
      </c>
      <c r="D120" s="19" t="s">
        <v>182</v>
      </c>
      <c r="E120" s="57"/>
      <c r="F120" s="11">
        <v>2.9999999999999997E-4</v>
      </c>
      <c r="G120" s="9">
        <v>6</v>
      </c>
      <c r="H120" s="13">
        <f>F120*$H$8</f>
        <v>6.2921999999999993</v>
      </c>
      <c r="I120" s="13">
        <f>F120*$I$8</f>
        <v>6.6161999999999992</v>
      </c>
      <c r="J120" s="13">
        <f>$F120*$J$8</f>
        <v>7.1288999999999998</v>
      </c>
      <c r="K120" s="13">
        <f>$F120*$K$8</f>
        <v>7.3664999999999994</v>
      </c>
      <c r="L120" s="13">
        <f>$F120*$L$8</f>
        <v>7.5395999999999992</v>
      </c>
      <c r="M120" s="13">
        <f t="shared" si="21"/>
        <v>487.81470000000002</v>
      </c>
      <c r="N120" s="13">
        <f t="shared" si="25"/>
        <v>0</v>
      </c>
      <c r="O120" s="13">
        <f t="shared" si="24"/>
        <v>0</v>
      </c>
      <c r="P120" s="13">
        <f t="shared" si="12"/>
        <v>0</v>
      </c>
      <c r="Q120" s="13"/>
      <c r="R120" s="13">
        <f t="shared" si="13"/>
        <v>0</v>
      </c>
      <c r="S120" s="13">
        <f t="shared" si="14"/>
        <v>0</v>
      </c>
      <c r="T120" s="13">
        <f t="shared" si="23"/>
        <v>0</v>
      </c>
      <c r="U120" s="13">
        <f t="shared" si="15"/>
        <v>0</v>
      </c>
      <c r="V120" s="13">
        <f t="shared" si="16"/>
        <v>0</v>
      </c>
      <c r="W120" s="13">
        <f t="shared" si="17"/>
        <v>0</v>
      </c>
    </row>
    <row r="121" spans="2:23" ht="30" customHeight="1" x14ac:dyDescent="0.2">
      <c r="B121" s="9"/>
      <c r="C121" s="19" t="s">
        <v>183</v>
      </c>
      <c r="D121" s="19" t="s">
        <v>184</v>
      </c>
      <c r="E121" s="57"/>
      <c r="F121" s="11">
        <v>0.03</v>
      </c>
      <c r="G121" s="9">
        <v>600</v>
      </c>
      <c r="H121" s="13">
        <f>F121*$H$8+71</f>
        <v>700.22</v>
      </c>
      <c r="I121" s="13">
        <f>F121*$I$8+38</f>
        <v>699.62</v>
      </c>
      <c r="J121" s="13">
        <f>$F121*$J$8-13</f>
        <v>699.89</v>
      </c>
      <c r="K121" s="13">
        <f>$F121*$K$8-37</f>
        <v>699.65</v>
      </c>
      <c r="L121" s="13">
        <f>$F121*$L$8+46</f>
        <v>799.95999999999992</v>
      </c>
      <c r="M121" s="13">
        <f t="shared" si="21"/>
        <v>1261.47</v>
      </c>
      <c r="N121" s="13">
        <f t="shared" si="25"/>
        <v>1000</v>
      </c>
      <c r="O121" s="13">
        <f t="shared" si="24"/>
        <v>1000</v>
      </c>
      <c r="P121" s="13">
        <f t="shared" si="12"/>
        <v>1000</v>
      </c>
      <c r="Q121" s="13">
        <f t="shared" si="22"/>
        <v>1000</v>
      </c>
      <c r="R121" s="13">
        <f t="shared" si="13"/>
        <v>1000</v>
      </c>
      <c r="S121" s="13">
        <f t="shared" si="14"/>
        <v>1000</v>
      </c>
      <c r="T121" s="13">
        <f t="shared" si="23"/>
        <v>1000</v>
      </c>
      <c r="U121" s="13">
        <f t="shared" si="15"/>
        <v>1000</v>
      </c>
      <c r="V121" s="13">
        <f t="shared" si="16"/>
        <v>1000</v>
      </c>
      <c r="W121" s="13">
        <f t="shared" si="17"/>
        <v>1000</v>
      </c>
    </row>
    <row r="122" spans="2:23" ht="30" customHeight="1" x14ac:dyDescent="0.2">
      <c r="B122" s="9">
        <f>B119+1</f>
        <v>54</v>
      </c>
      <c r="C122" s="19" t="s">
        <v>185</v>
      </c>
      <c r="D122" s="19"/>
      <c r="E122" s="57"/>
      <c r="F122" s="11"/>
      <c r="G122" s="9"/>
      <c r="H122" s="9"/>
      <c r="I122" s="9"/>
      <c r="J122" s="9"/>
      <c r="K122" s="9"/>
      <c r="L122" s="13" t="s">
        <v>0</v>
      </c>
      <c r="M122" s="13">
        <f t="shared" si="21"/>
        <v>480</v>
      </c>
      <c r="N122" s="13">
        <f t="shared" si="25"/>
        <v>0</v>
      </c>
      <c r="O122" s="13">
        <f t="shared" si="24"/>
        <v>0</v>
      </c>
      <c r="P122" s="13">
        <f t="shared" si="12"/>
        <v>0</v>
      </c>
      <c r="Q122" s="13"/>
      <c r="R122" s="13">
        <f t="shared" si="13"/>
        <v>0</v>
      </c>
      <c r="S122" s="13">
        <f t="shared" si="14"/>
        <v>0</v>
      </c>
      <c r="T122" s="13">
        <f t="shared" si="23"/>
        <v>0</v>
      </c>
      <c r="U122" s="13">
        <f t="shared" si="15"/>
        <v>0</v>
      </c>
      <c r="V122" s="13">
        <f t="shared" si="16"/>
        <v>0</v>
      </c>
      <c r="W122" s="13">
        <f t="shared" si="17"/>
        <v>0</v>
      </c>
    </row>
    <row r="123" spans="2:23" ht="30" customHeight="1" x14ac:dyDescent="0.2">
      <c r="B123" s="9"/>
      <c r="C123" s="19" t="s">
        <v>186</v>
      </c>
      <c r="D123" s="19" t="s">
        <v>187</v>
      </c>
      <c r="E123" s="57"/>
      <c r="F123" s="11">
        <v>1.5</v>
      </c>
      <c r="G123" s="12">
        <v>30000</v>
      </c>
      <c r="H123" s="13">
        <f>F123*$H$8-461</f>
        <v>31000</v>
      </c>
      <c r="I123" s="13">
        <f>F123*$I$8-81</f>
        <v>33000</v>
      </c>
      <c r="J123" s="13">
        <f>$F123*$J$8+355</f>
        <v>35999.5</v>
      </c>
      <c r="K123" s="13">
        <f>$F123*$K$8+167</f>
        <v>36999.5</v>
      </c>
      <c r="L123" s="13">
        <f>$F123*$L$8+302</f>
        <v>38000</v>
      </c>
      <c r="M123" s="13">
        <f t="shared" si="21"/>
        <v>39553.5</v>
      </c>
      <c r="N123" s="13">
        <f t="shared" si="25"/>
        <v>40000</v>
      </c>
      <c r="O123" s="13">
        <f t="shared" si="24"/>
        <v>41000</v>
      </c>
      <c r="P123" s="13">
        <f t="shared" si="12"/>
        <v>42000</v>
      </c>
      <c r="Q123" s="13">
        <f t="shared" si="22"/>
        <v>45000</v>
      </c>
      <c r="R123" s="13">
        <f t="shared" si="13"/>
        <v>48000</v>
      </c>
      <c r="S123" s="13">
        <f t="shared" si="14"/>
        <v>50000</v>
      </c>
      <c r="T123" s="13">
        <f t="shared" si="23"/>
        <v>51000</v>
      </c>
      <c r="U123" s="13">
        <f t="shared" si="15"/>
        <v>53000</v>
      </c>
      <c r="V123" s="13">
        <f t="shared" si="16"/>
        <v>54000</v>
      </c>
      <c r="W123" s="13">
        <f t="shared" si="17"/>
        <v>57000</v>
      </c>
    </row>
    <row r="124" spans="2:23" ht="30" customHeight="1" x14ac:dyDescent="0.2">
      <c r="B124" s="9"/>
      <c r="C124" s="19" t="s">
        <v>188</v>
      </c>
      <c r="D124" s="19" t="s">
        <v>189</v>
      </c>
      <c r="E124" s="57"/>
      <c r="F124" s="11">
        <v>0.6</v>
      </c>
      <c r="G124" s="12">
        <v>12000</v>
      </c>
      <c r="H124" s="13">
        <f>F124*$H$8+416</f>
        <v>13000.4</v>
      </c>
      <c r="I124" s="13">
        <f>F124*$I$8-232</f>
        <v>13000.4</v>
      </c>
      <c r="J124" s="13">
        <f>$F124*$J$8-258</f>
        <v>13999.8</v>
      </c>
      <c r="K124" s="13">
        <f>$F124*$K$8+267</f>
        <v>15000</v>
      </c>
      <c r="L124" s="13">
        <f>$F124*$L$8-79</f>
        <v>15000.199999999999</v>
      </c>
      <c r="M124" s="13">
        <f t="shared" si="21"/>
        <v>16109.4</v>
      </c>
      <c r="N124" s="13">
        <f t="shared" si="25"/>
        <v>16000</v>
      </c>
      <c r="O124" s="13">
        <f t="shared" si="24"/>
        <v>16000</v>
      </c>
      <c r="P124" s="13">
        <f t="shared" si="12"/>
        <v>17000</v>
      </c>
      <c r="Q124" s="13">
        <f t="shared" si="22"/>
        <v>18000</v>
      </c>
      <c r="R124" s="13">
        <f t="shared" si="13"/>
        <v>19000</v>
      </c>
      <c r="S124" s="13">
        <f t="shared" si="14"/>
        <v>20000</v>
      </c>
      <c r="T124" s="13">
        <f t="shared" si="23"/>
        <v>21000</v>
      </c>
      <c r="U124" s="13">
        <f t="shared" si="15"/>
        <v>21000</v>
      </c>
      <c r="V124" s="13">
        <f t="shared" si="16"/>
        <v>22000</v>
      </c>
      <c r="W124" s="13">
        <f t="shared" si="17"/>
        <v>23000</v>
      </c>
    </row>
    <row r="125" spans="2:23" ht="30" customHeight="1" x14ac:dyDescent="0.2">
      <c r="B125" s="9"/>
      <c r="C125" s="19" t="s">
        <v>190</v>
      </c>
      <c r="D125" s="19" t="s">
        <v>191</v>
      </c>
      <c r="E125" s="57"/>
      <c r="F125" s="11">
        <v>3</v>
      </c>
      <c r="G125" s="12">
        <v>59000</v>
      </c>
      <c r="H125" s="13">
        <f>F125*$H$8+78</f>
        <v>63000</v>
      </c>
      <c r="I125" s="13">
        <f>F125*$I$8-162</f>
        <v>66000</v>
      </c>
      <c r="J125" s="13">
        <f>$F125*$J$8-289</f>
        <v>71000</v>
      </c>
      <c r="K125" s="13">
        <f>$F125*$K$8+335</f>
        <v>74000</v>
      </c>
      <c r="L125" s="13">
        <f>$F125*$L$8-396</f>
        <v>75000</v>
      </c>
      <c r="M125" s="13">
        <f t="shared" si="21"/>
        <v>78627</v>
      </c>
      <c r="N125" s="13">
        <f t="shared" si="25"/>
        <v>81000</v>
      </c>
      <c r="O125" s="13">
        <f t="shared" si="24"/>
        <v>82000</v>
      </c>
      <c r="P125" s="13">
        <f t="shared" si="12"/>
        <v>85000</v>
      </c>
      <c r="Q125" s="13">
        <f t="shared" si="22"/>
        <v>89000</v>
      </c>
      <c r="R125" s="13">
        <f t="shared" si="13"/>
        <v>96000</v>
      </c>
      <c r="S125" s="13">
        <f t="shared" si="14"/>
        <v>99000</v>
      </c>
      <c r="T125" s="13">
        <f t="shared" si="23"/>
        <v>103000</v>
      </c>
      <c r="U125" s="13">
        <f t="shared" si="15"/>
        <v>107000</v>
      </c>
      <c r="V125" s="13">
        <f t="shared" si="16"/>
        <v>109000</v>
      </c>
      <c r="W125" s="13">
        <f t="shared" si="17"/>
        <v>114000</v>
      </c>
    </row>
    <row r="126" spans="2:23" ht="30" customHeight="1" x14ac:dyDescent="0.2">
      <c r="B126" s="9"/>
      <c r="C126" s="19" t="s">
        <v>192</v>
      </c>
      <c r="D126" s="19" t="s">
        <v>193</v>
      </c>
      <c r="E126" s="57"/>
      <c r="F126" s="11">
        <v>9</v>
      </c>
      <c r="G126" s="12">
        <v>178000</v>
      </c>
      <c r="H126" s="13">
        <f>F126*$H$8+234</f>
        <v>189000</v>
      </c>
      <c r="I126" s="13">
        <f>F126*$I$8-486</f>
        <v>198000</v>
      </c>
      <c r="J126" s="13">
        <f>$F126*$J$8+133</f>
        <v>214000</v>
      </c>
      <c r="K126" s="13">
        <f>$F126*$K$8+5</f>
        <v>221000</v>
      </c>
      <c r="L126" s="13">
        <f>$F126*$L$8-188</f>
        <v>226000</v>
      </c>
      <c r="M126" s="13">
        <f t="shared" si="21"/>
        <v>234921</v>
      </c>
      <c r="N126" s="13">
        <f t="shared" si="25"/>
        <v>242000</v>
      </c>
      <c r="O126" s="13">
        <f t="shared" si="24"/>
        <v>247000</v>
      </c>
      <c r="P126" s="13">
        <f t="shared" si="12"/>
        <v>255000</v>
      </c>
      <c r="Q126" s="13">
        <f t="shared" si="22"/>
        <v>268000</v>
      </c>
      <c r="R126" s="13">
        <f t="shared" si="13"/>
        <v>287000</v>
      </c>
      <c r="S126" s="13">
        <f t="shared" si="14"/>
        <v>298000</v>
      </c>
      <c r="T126" s="13">
        <f t="shared" si="23"/>
        <v>308000</v>
      </c>
      <c r="U126" s="13">
        <f t="shared" si="15"/>
        <v>320000</v>
      </c>
      <c r="V126" s="13">
        <f t="shared" si="16"/>
        <v>327000</v>
      </c>
      <c r="W126" s="13">
        <f t="shared" si="17"/>
        <v>342000</v>
      </c>
    </row>
    <row r="127" spans="2:23" ht="30" customHeight="1" x14ac:dyDescent="0.2">
      <c r="B127" s="9"/>
      <c r="C127" s="19" t="s">
        <v>194</v>
      </c>
      <c r="D127" s="19" t="s">
        <v>195</v>
      </c>
      <c r="E127" s="57"/>
      <c r="F127" s="11">
        <v>15</v>
      </c>
      <c r="G127" s="12">
        <v>297000</v>
      </c>
      <c r="H127" s="13">
        <f>F127*$H$8+390</f>
        <v>315000</v>
      </c>
      <c r="I127" s="13">
        <f>F127*$I$8+190</f>
        <v>331000</v>
      </c>
      <c r="J127" s="13">
        <f>$F127*$J$8-445</f>
        <v>356000</v>
      </c>
      <c r="K127" s="13">
        <f>$F127*$K$8-325</f>
        <v>368000</v>
      </c>
      <c r="L127" s="13">
        <f>$F127*$L$8+20</f>
        <v>377000</v>
      </c>
      <c r="M127" s="13">
        <f t="shared" si="21"/>
        <v>391215</v>
      </c>
      <c r="N127" s="13">
        <f t="shared" si="25"/>
        <v>403000</v>
      </c>
      <c r="O127" s="13">
        <f t="shared" si="24"/>
        <v>412000</v>
      </c>
      <c r="P127" s="13">
        <f t="shared" si="12"/>
        <v>424000</v>
      </c>
      <c r="Q127" s="13">
        <f t="shared" si="22"/>
        <v>446000</v>
      </c>
      <c r="R127" s="13">
        <f t="shared" si="13"/>
        <v>478000</v>
      </c>
      <c r="S127" s="13">
        <f t="shared" si="14"/>
        <v>497000</v>
      </c>
      <c r="T127" s="13">
        <f t="shared" si="23"/>
        <v>514000</v>
      </c>
      <c r="U127" s="13">
        <f t="shared" si="15"/>
        <v>534000</v>
      </c>
      <c r="V127" s="13">
        <f t="shared" si="16"/>
        <v>545000</v>
      </c>
      <c r="W127" s="13">
        <f t="shared" si="17"/>
        <v>570000</v>
      </c>
    </row>
    <row r="128" spans="2:23" ht="30" customHeight="1" x14ac:dyDescent="0.2">
      <c r="B128" s="9"/>
      <c r="C128" s="19" t="s">
        <v>196</v>
      </c>
      <c r="D128" s="19" t="s">
        <v>197</v>
      </c>
      <c r="E128" s="57"/>
      <c r="F128" s="11">
        <v>6</v>
      </c>
      <c r="G128" s="12">
        <v>119000</v>
      </c>
      <c r="H128" s="13">
        <f>F128*$H$8+156</f>
        <v>126000</v>
      </c>
      <c r="I128" s="13">
        <f>F128*$I$8-324</f>
        <v>132000</v>
      </c>
      <c r="J128" s="13">
        <f>$F128*$J$8+422</f>
        <v>143000</v>
      </c>
      <c r="K128" s="13">
        <f>$F128*$K$8-330</f>
        <v>147000</v>
      </c>
      <c r="L128" s="13">
        <f>$F128*$L$8+208</f>
        <v>151000</v>
      </c>
      <c r="M128" s="13">
        <f t="shared" si="21"/>
        <v>156774</v>
      </c>
      <c r="N128" s="13">
        <f t="shared" si="25"/>
        <v>161000</v>
      </c>
      <c r="O128" s="13">
        <f t="shared" si="24"/>
        <v>165000</v>
      </c>
      <c r="P128" s="13">
        <f t="shared" si="12"/>
        <v>170000</v>
      </c>
      <c r="Q128" s="13">
        <f t="shared" si="22"/>
        <v>179000</v>
      </c>
      <c r="R128" s="13">
        <f t="shared" si="13"/>
        <v>191000</v>
      </c>
      <c r="S128" s="13">
        <f t="shared" si="14"/>
        <v>199000</v>
      </c>
      <c r="T128" s="13">
        <f t="shared" si="23"/>
        <v>206000</v>
      </c>
      <c r="U128" s="13">
        <f t="shared" si="15"/>
        <v>214000</v>
      </c>
      <c r="V128" s="13">
        <f t="shared" si="16"/>
        <v>218000</v>
      </c>
      <c r="W128" s="13">
        <f t="shared" si="17"/>
        <v>228000</v>
      </c>
    </row>
    <row r="129" spans="2:23" ht="30" customHeight="1" x14ac:dyDescent="0.2">
      <c r="B129" s="9"/>
      <c r="C129" s="19" t="s">
        <v>198</v>
      </c>
      <c r="D129" s="19" t="s">
        <v>199</v>
      </c>
      <c r="E129" s="57"/>
      <c r="F129" s="11">
        <v>1.5</v>
      </c>
      <c r="G129" s="12">
        <v>30000</v>
      </c>
      <c r="H129" s="13">
        <f>F129*$H$8-461</f>
        <v>31000</v>
      </c>
      <c r="I129" s="13">
        <f>F129*$I$8-81</f>
        <v>33000</v>
      </c>
      <c r="J129" s="13">
        <f>$F129*$J$8+355</f>
        <v>35999.5</v>
      </c>
      <c r="K129" s="13">
        <f>$F129*$K$8+167</f>
        <v>36999.5</v>
      </c>
      <c r="L129" s="13">
        <f>$F129*$L$8+302</f>
        <v>38000</v>
      </c>
      <c r="M129" s="13">
        <f t="shared" si="21"/>
        <v>39553.5</v>
      </c>
      <c r="N129" s="13">
        <f t="shared" si="25"/>
        <v>40000</v>
      </c>
      <c r="O129" s="13">
        <f t="shared" si="24"/>
        <v>41000</v>
      </c>
      <c r="P129" s="13">
        <f t="shared" si="12"/>
        <v>42000</v>
      </c>
      <c r="Q129" s="13">
        <f t="shared" si="22"/>
        <v>45000</v>
      </c>
      <c r="R129" s="13">
        <f t="shared" si="13"/>
        <v>48000</v>
      </c>
      <c r="S129" s="13">
        <f t="shared" si="14"/>
        <v>50000</v>
      </c>
      <c r="T129" s="13">
        <f t="shared" si="23"/>
        <v>51000</v>
      </c>
      <c r="U129" s="13">
        <f t="shared" si="15"/>
        <v>53000</v>
      </c>
      <c r="V129" s="13">
        <f t="shared" si="16"/>
        <v>54000</v>
      </c>
      <c r="W129" s="13">
        <f t="shared" si="17"/>
        <v>57000</v>
      </c>
    </row>
    <row r="130" spans="2:23" ht="30" customHeight="1" x14ac:dyDescent="0.2">
      <c r="B130" s="9"/>
      <c r="C130" s="19" t="s">
        <v>200</v>
      </c>
      <c r="D130" s="19" t="s">
        <v>201</v>
      </c>
      <c r="E130" s="57"/>
      <c r="F130" s="11">
        <v>45</v>
      </c>
      <c r="G130" s="12">
        <v>890000</v>
      </c>
      <c r="H130" s="13">
        <f>F130*$H$8+170</f>
        <v>944000</v>
      </c>
      <c r="I130" s="13">
        <f>F130*$I$8-430</f>
        <v>992000</v>
      </c>
      <c r="J130" s="13">
        <f>$F130*$J$8-335</f>
        <v>1069000</v>
      </c>
      <c r="K130" s="13">
        <f>$F130*$K$8+25</f>
        <v>1105000</v>
      </c>
      <c r="L130" s="13">
        <f>$F130*$L$8+60</f>
        <v>1131000</v>
      </c>
      <c r="M130" s="13">
        <f t="shared" si="21"/>
        <v>1172685</v>
      </c>
      <c r="N130" s="13">
        <f t="shared" si="25"/>
        <v>1208000</v>
      </c>
      <c r="O130" s="13">
        <f t="shared" si="24"/>
        <v>1237000</v>
      </c>
      <c r="P130" s="13">
        <f t="shared" si="12"/>
        <v>1273000</v>
      </c>
      <c r="Q130" s="13">
        <f t="shared" si="22"/>
        <v>1339000</v>
      </c>
      <c r="R130" s="13">
        <f t="shared" si="13"/>
        <v>1434000</v>
      </c>
      <c r="S130" s="13">
        <f t="shared" si="14"/>
        <v>1492000</v>
      </c>
      <c r="T130" s="13">
        <f t="shared" si="23"/>
        <v>1542000</v>
      </c>
      <c r="U130" s="13">
        <f t="shared" si="15"/>
        <v>1602000</v>
      </c>
      <c r="V130" s="13">
        <f t="shared" si="16"/>
        <v>1634000</v>
      </c>
      <c r="W130" s="13">
        <f t="shared" si="17"/>
        <v>1710000</v>
      </c>
    </row>
    <row r="131" spans="2:23" ht="30" customHeight="1" x14ac:dyDescent="0.2">
      <c r="B131" s="9"/>
      <c r="C131" s="19" t="s">
        <v>202</v>
      </c>
      <c r="D131" s="19" t="s">
        <v>203</v>
      </c>
      <c r="E131" s="57"/>
      <c r="F131" s="11">
        <v>30</v>
      </c>
      <c r="G131" s="12">
        <v>593000</v>
      </c>
      <c r="H131" s="13">
        <f>F131*$H$8-220</f>
        <v>629000</v>
      </c>
      <c r="I131" s="13">
        <f>F131*$I$8+380</f>
        <v>662000</v>
      </c>
      <c r="J131" s="13">
        <f>$F131*$J$8+110</f>
        <v>713000</v>
      </c>
      <c r="K131" s="13">
        <f>$F131*$K$8+350</f>
        <v>737000</v>
      </c>
      <c r="L131" s="13">
        <f>$F131*$L$8+40</f>
        <v>754000</v>
      </c>
      <c r="M131" s="13">
        <f t="shared" si="21"/>
        <v>781950</v>
      </c>
      <c r="N131" s="13">
        <f t="shared" si="25"/>
        <v>805000</v>
      </c>
      <c r="O131" s="13">
        <f t="shared" si="24"/>
        <v>825000</v>
      </c>
      <c r="P131" s="13">
        <f t="shared" si="12"/>
        <v>848000</v>
      </c>
      <c r="Q131" s="13">
        <f t="shared" si="22"/>
        <v>893000</v>
      </c>
      <c r="R131" s="13">
        <f t="shared" si="13"/>
        <v>956000</v>
      </c>
      <c r="S131" s="13">
        <f t="shared" si="14"/>
        <v>995000</v>
      </c>
      <c r="T131" s="13">
        <f t="shared" si="23"/>
        <v>1028000</v>
      </c>
      <c r="U131" s="13">
        <f t="shared" si="15"/>
        <v>1068000</v>
      </c>
      <c r="V131" s="13">
        <f t="shared" si="16"/>
        <v>1089000</v>
      </c>
      <c r="W131" s="13">
        <f t="shared" si="17"/>
        <v>1140000</v>
      </c>
    </row>
    <row r="132" spans="2:23" ht="30" customHeight="1" x14ac:dyDescent="0.2">
      <c r="B132" s="9"/>
      <c r="C132" s="19" t="s">
        <v>204</v>
      </c>
      <c r="D132" s="19" t="s">
        <v>205</v>
      </c>
      <c r="E132" s="57"/>
      <c r="F132" s="11">
        <v>6</v>
      </c>
      <c r="G132" s="12">
        <v>119000</v>
      </c>
      <c r="H132" s="13">
        <f>F132*$H$8+156</f>
        <v>126000</v>
      </c>
      <c r="I132" s="13">
        <f>F132*$I$8-324</f>
        <v>132000</v>
      </c>
      <c r="J132" s="13">
        <f>$F132*$J$8+422</f>
        <v>143000</v>
      </c>
      <c r="K132" s="13">
        <f>$F132*$K$8-330</f>
        <v>147000</v>
      </c>
      <c r="L132" s="13">
        <f>$F132*$L$8+208</f>
        <v>151000</v>
      </c>
      <c r="M132" s="13">
        <f t="shared" si="21"/>
        <v>156774</v>
      </c>
      <c r="N132" s="13">
        <f t="shared" si="25"/>
        <v>161000</v>
      </c>
      <c r="O132" s="13">
        <f t="shared" si="24"/>
        <v>165000</v>
      </c>
      <c r="P132" s="13">
        <f t="shared" si="12"/>
        <v>170000</v>
      </c>
      <c r="Q132" s="13">
        <f t="shared" si="22"/>
        <v>179000</v>
      </c>
      <c r="R132" s="13">
        <f t="shared" si="13"/>
        <v>191000</v>
      </c>
      <c r="S132" s="13">
        <f t="shared" si="14"/>
        <v>199000</v>
      </c>
      <c r="T132" s="13">
        <f t="shared" si="23"/>
        <v>206000</v>
      </c>
      <c r="U132" s="13">
        <f t="shared" si="15"/>
        <v>214000</v>
      </c>
      <c r="V132" s="13">
        <f t="shared" si="16"/>
        <v>218000</v>
      </c>
      <c r="W132" s="13">
        <f t="shared" si="17"/>
        <v>228000</v>
      </c>
    </row>
    <row r="133" spans="2:23" ht="30" customHeight="1" x14ac:dyDescent="0.2">
      <c r="B133" s="9"/>
      <c r="C133" s="19" t="s">
        <v>206</v>
      </c>
      <c r="D133" s="19" t="s">
        <v>207</v>
      </c>
      <c r="E133" s="57"/>
      <c r="F133" s="11">
        <v>3</v>
      </c>
      <c r="G133" s="12">
        <v>59000</v>
      </c>
      <c r="H133" s="13">
        <f>F133*$H$8+78</f>
        <v>63000</v>
      </c>
      <c r="I133" s="13">
        <f>F133*$I$8-162</f>
        <v>66000</v>
      </c>
      <c r="J133" s="13">
        <f>$F133*$J$8-289</f>
        <v>71000</v>
      </c>
      <c r="K133" s="13">
        <f>$F133*$K$8+335</f>
        <v>74000</v>
      </c>
      <c r="L133" s="13">
        <f>$F133*$L$8-396</f>
        <v>75000</v>
      </c>
      <c r="M133" s="13">
        <f t="shared" si="21"/>
        <v>78627</v>
      </c>
      <c r="N133" s="13">
        <f t="shared" si="25"/>
        <v>81000</v>
      </c>
      <c r="O133" s="13">
        <f t="shared" si="24"/>
        <v>82000</v>
      </c>
      <c r="P133" s="13">
        <f t="shared" si="12"/>
        <v>85000</v>
      </c>
      <c r="Q133" s="13">
        <f t="shared" si="22"/>
        <v>89000</v>
      </c>
      <c r="R133" s="13">
        <f t="shared" si="13"/>
        <v>96000</v>
      </c>
      <c r="S133" s="13">
        <f t="shared" si="14"/>
        <v>99000</v>
      </c>
      <c r="T133" s="13">
        <f t="shared" si="23"/>
        <v>103000</v>
      </c>
      <c r="U133" s="13">
        <f t="shared" si="15"/>
        <v>107000</v>
      </c>
      <c r="V133" s="13">
        <f t="shared" si="16"/>
        <v>109000</v>
      </c>
      <c r="W133" s="13">
        <f t="shared" si="17"/>
        <v>114000</v>
      </c>
    </row>
    <row r="134" spans="2:23" ht="30" customHeight="1" x14ac:dyDescent="0.2">
      <c r="B134" s="9">
        <f>B122+1</f>
        <v>55</v>
      </c>
      <c r="C134" s="19" t="s">
        <v>208</v>
      </c>
      <c r="D134" s="19" t="s">
        <v>209</v>
      </c>
      <c r="E134" s="57"/>
      <c r="F134" s="11">
        <v>4</v>
      </c>
      <c r="G134" s="12">
        <v>71000</v>
      </c>
      <c r="H134" s="13">
        <f>F134*$H$8+104</f>
        <v>84000</v>
      </c>
      <c r="I134" s="13">
        <f>F134*$I$8-216</f>
        <v>88000</v>
      </c>
      <c r="J134" s="13">
        <f>$F134*$J$8-52</f>
        <v>95000</v>
      </c>
      <c r="K134" s="13">
        <f>$F134*$K$8-220</f>
        <v>98000</v>
      </c>
      <c r="L134" s="13">
        <f>$F134*$L$8+472</f>
        <v>101000</v>
      </c>
      <c r="M134" s="13">
        <f t="shared" si="21"/>
        <v>104676</v>
      </c>
      <c r="N134" s="13">
        <f t="shared" si="25"/>
        <v>107000</v>
      </c>
      <c r="O134" s="13">
        <f t="shared" si="24"/>
        <v>110000</v>
      </c>
      <c r="P134" s="13">
        <f t="shared" si="12"/>
        <v>113000</v>
      </c>
      <c r="Q134" s="13">
        <f t="shared" si="22"/>
        <v>119000</v>
      </c>
      <c r="R134" s="13">
        <f t="shared" si="13"/>
        <v>127000</v>
      </c>
      <c r="S134" s="13">
        <f t="shared" si="14"/>
        <v>133000</v>
      </c>
      <c r="T134" s="13">
        <f t="shared" si="23"/>
        <v>137000</v>
      </c>
      <c r="U134" s="13">
        <f t="shared" si="15"/>
        <v>142000</v>
      </c>
      <c r="V134" s="13">
        <f t="shared" si="16"/>
        <v>145000</v>
      </c>
      <c r="W134" s="13">
        <f t="shared" si="17"/>
        <v>152000</v>
      </c>
    </row>
    <row r="135" spans="2:23" ht="30" customHeight="1" x14ac:dyDescent="0.2">
      <c r="B135" s="9">
        <f>B134+1</f>
        <v>56</v>
      </c>
      <c r="C135" s="19" t="s">
        <v>210</v>
      </c>
      <c r="D135" s="19"/>
      <c r="E135" s="57"/>
      <c r="F135" s="11"/>
      <c r="G135" s="9"/>
      <c r="H135" s="9"/>
      <c r="I135" s="9"/>
      <c r="J135" s="9"/>
      <c r="K135" s="9"/>
      <c r="L135" s="13" t="s">
        <v>0</v>
      </c>
      <c r="M135" s="13">
        <f t="shared" si="21"/>
        <v>480</v>
      </c>
      <c r="N135" s="13">
        <f t="shared" si="25"/>
        <v>0</v>
      </c>
      <c r="O135" s="13">
        <f t="shared" si="24"/>
        <v>0</v>
      </c>
      <c r="P135" s="13">
        <f t="shared" si="12"/>
        <v>0</v>
      </c>
      <c r="Q135" s="13" t="s">
        <v>0</v>
      </c>
      <c r="R135" s="13">
        <f t="shared" si="13"/>
        <v>0</v>
      </c>
      <c r="S135" s="13">
        <f t="shared" si="14"/>
        <v>0</v>
      </c>
      <c r="T135" s="13">
        <f t="shared" si="23"/>
        <v>0</v>
      </c>
      <c r="U135" s="13">
        <f t="shared" si="15"/>
        <v>0</v>
      </c>
      <c r="V135" s="13">
        <f t="shared" si="16"/>
        <v>0</v>
      </c>
      <c r="W135" s="13">
        <f t="shared" si="17"/>
        <v>0</v>
      </c>
    </row>
    <row r="136" spans="2:23" ht="30" customHeight="1" x14ac:dyDescent="0.2">
      <c r="B136" s="9"/>
      <c r="C136" s="19" t="s">
        <v>14</v>
      </c>
      <c r="D136" s="19" t="s">
        <v>211</v>
      </c>
      <c r="E136" s="57"/>
      <c r="F136" s="11">
        <v>7</v>
      </c>
      <c r="G136" s="12">
        <v>143000</v>
      </c>
      <c r="H136" s="13">
        <f>F136*$H$8+182</f>
        <v>147000</v>
      </c>
      <c r="I136" s="13">
        <f>F136*$I$8-378</f>
        <v>154000</v>
      </c>
      <c r="J136" s="13">
        <f>$F136*$J$8-341</f>
        <v>166000</v>
      </c>
      <c r="K136" s="13">
        <f>$F136*$K$8+115</f>
        <v>172000</v>
      </c>
      <c r="L136" s="13">
        <f>$F136*$L$8+76</f>
        <v>176000</v>
      </c>
      <c r="M136" s="13">
        <f t="shared" si="21"/>
        <v>182823</v>
      </c>
      <c r="N136" s="13">
        <f t="shared" si="25"/>
        <v>188000</v>
      </c>
      <c r="O136" s="13">
        <f t="shared" si="24"/>
        <v>192000</v>
      </c>
      <c r="P136" s="13">
        <f t="shared" si="12"/>
        <v>198000</v>
      </c>
      <c r="Q136" s="13">
        <f t="shared" si="22"/>
        <v>208000</v>
      </c>
      <c r="R136" s="13">
        <f t="shared" si="13"/>
        <v>223000</v>
      </c>
      <c r="S136" s="13">
        <f t="shared" si="14"/>
        <v>232000</v>
      </c>
      <c r="T136" s="13">
        <f t="shared" si="23"/>
        <v>240000</v>
      </c>
      <c r="U136" s="13">
        <f t="shared" si="15"/>
        <v>249000</v>
      </c>
      <c r="V136" s="13">
        <f t="shared" si="16"/>
        <v>254000</v>
      </c>
      <c r="W136" s="13">
        <f t="shared" si="17"/>
        <v>266000</v>
      </c>
    </row>
    <row r="137" spans="2:23" ht="30" customHeight="1" x14ac:dyDescent="0.2">
      <c r="B137" s="9"/>
      <c r="C137" s="19" t="s">
        <v>16</v>
      </c>
      <c r="D137" s="19" t="s">
        <v>211</v>
      </c>
      <c r="E137" s="57"/>
      <c r="F137" s="11">
        <v>360</v>
      </c>
      <c r="G137" s="12">
        <v>7131000</v>
      </c>
      <c r="H137" s="13">
        <f>F137*$H$8+360</f>
        <v>7551000</v>
      </c>
      <c r="I137" s="13">
        <f>F137*$I$8-440</f>
        <v>7939000</v>
      </c>
      <c r="J137" s="13">
        <f>$F137*$J$8+320</f>
        <v>8555000</v>
      </c>
      <c r="K137" s="13">
        <f>$F137*$K$8+200</f>
        <v>8840000</v>
      </c>
      <c r="L137" s="13">
        <f>$F137*$L$8+480</f>
        <v>9048000</v>
      </c>
      <c r="M137" s="13">
        <f t="shared" si="21"/>
        <v>9378120</v>
      </c>
      <c r="N137" s="13">
        <f t="shared" si="25"/>
        <v>9663000</v>
      </c>
      <c r="O137" s="13">
        <f t="shared" si="24"/>
        <v>9895000</v>
      </c>
      <c r="P137" s="13">
        <f t="shared" si="12"/>
        <v>10180000</v>
      </c>
      <c r="Q137" s="13">
        <f t="shared" si="22"/>
        <v>10711000</v>
      </c>
      <c r="R137" s="13">
        <f t="shared" si="13"/>
        <v>11469000</v>
      </c>
      <c r="S137" s="13">
        <f t="shared" si="14"/>
        <v>11936000</v>
      </c>
      <c r="T137" s="13">
        <f t="shared" si="23"/>
        <v>12337000</v>
      </c>
      <c r="U137" s="13">
        <f t="shared" si="15"/>
        <v>12819000</v>
      </c>
      <c r="V137" s="13">
        <f t="shared" si="16"/>
        <v>13071000</v>
      </c>
      <c r="W137" s="13">
        <f t="shared" si="17"/>
        <v>13681000</v>
      </c>
    </row>
    <row r="138" spans="2:23" ht="30" customHeight="1" x14ac:dyDescent="0.2">
      <c r="B138" s="9">
        <f>B135+1</f>
        <v>57</v>
      </c>
      <c r="C138" s="19" t="s">
        <v>212</v>
      </c>
      <c r="D138" s="19"/>
      <c r="E138" s="57"/>
      <c r="F138" s="11"/>
      <c r="G138" s="9"/>
      <c r="H138" s="9"/>
      <c r="I138" s="9"/>
      <c r="J138" s="9"/>
      <c r="K138" s="9"/>
      <c r="L138" s="13" t="s">
        <v>0</v>
      </c>
      <c r="M138" s="13">
        <f t="shared" si="21"/>
        <v>480</v>
      </c>
      <c r="N138" s="13">
        <f t="shared" si="25"/>
        <v>0</v>
      </c>
      <c r="O138" s="13">
        <f t="shared" si="24"/>
        <v>0</v>
      </c>
      <c r="P138" s="13">
        <f t="shared" si="12"/>
        <v>0</v>
      </c>
      <c r="Q138" s="13" t="s">
        <v>0</v>
      </c>
      <c r="R138" s="13">
        <f t="shared" si="13"/>
        <v>0</v>
      </c>
      <c r="S138" s="13">
        <f t="shared" si="14"/>
        <v>0</v>
      </c>
      <c r="T138" s="13">
        <f t="shared" si="23"/>
        <v>0</v>
      </c>
      <c r="U138" s="13">
        <f t="shared" si="15"/>
        <v>0</v>
      </c>
      <c r="V138" s="13">
        <f t="shared" si="16"/>
        <v>0</v>
      </c>
      <c r="W138" s="13">
        <f t="shared" si="17"/>
        <v>0</v>
      </c>
    </row>
    <row r="139" spans="2:23" ht="30" customHeight="1" x14ac:dyDescent="0.2">
      <c r="B139" s="9"/>
      <c r="C139" s="19" t="s">
        <v>14</v>
      </c>
      <c r="D139" s="19" t="s">
        <v>213</v>
      </c>
      <c r="E139" s="57"/>
      <c r="F139" s="11">
        <v>1.5</v>
      </c>
      <c r="G139" s="12">
        <v>29000</v>
      </c>
      <c r="H139" s="13">
        <f>F139*$H$8-461</f>
        <v>31000</v>
      </c>
      <c r="I139" s="13">
        <f>F139*$I$8-81</f>
        <v>33000</v>
      </c>
      <c r="J139" s="13">
        <f>$F139*$J$8+355</f>
        <v>35999.5</v>
      </c>
      <c r="K139" s="13">
        <f>$F139*$K$8+167</f>
        <v>36999.5</v>
      </c>
      <c r="L139" s="13">
        <f>$F139*$L$8+302</f>
        <v>38000</v>
      </c>
      <c r="M139" s="13">
        <f t="shared" ref="M139:M202" si="27">$F139*$M$8+480</f>
        <v>39553.5</v>
      </c>
      <c r="N139" s="13">
        <f t="shared" si="25"/>
        <v>40000</v>
      </c>
      <c r="O139" s="13">
        <f t="shared" si="24"/>
        <v>41000</v>
      </c>
      <c r="P139" s="13">
        <f t="shared" ref="P139:P202" si="28">ROUND(($F139*$P$8),-3)</f>
        <v>42000</v>
      </c>
      <c r="Q139" s="13">
        <f t="shared" ref="Q139:Q201" si="29">ROUND(($F139*$Q$8),-3)</f>
        <v>45000</v>
      </c>
      <c r="R139" s="13">
        <f t="shared" ref="R139:R202" si="30">ROUND(($F139*$R$8),-3)</f>
        <v>48000</v>
      </c>
      <c r="S139" s="13">
        <f t="shared" ref="S139:S202" si="31">ROUND(($F139*$S$8),-3)</f>
        <v>50000</v>
      </c>
      <c r="T139" s="13">
        <f t="shared" si="23"/>
        <v>51000</v>
      </c>
      <c r="U139" s="13">
        <f t="shared" ref="U139:U202" si="32">ROUND(($F139*$U$8),-3)</f>
        <v>53000</v>
      </c>
      <c r="V139" s="13">
        <f t="shared" ref="V139:V202" si="33">ROUND(($F139*$V$8),-3)</f>
        <v>54000</v>
      </c>
      <c r="W139" s="13">
        <f t="shared" ref="W139:W202" si="34">ROUND(($F139*$W$8),-3)</f>
        <v>57000</v>
      </c>
    </row>
    <row r="140" spans="2:23" ht="30" customHeight="1" x14ac:dyDescent="0.2">
      <c r="B140" s="9"/>
      <c r="C140" s="19" t="s">
        <v>214</v>
      </c>
      <c r="D140" s="19" t="s">
        <v>213</v>
      </c>
      <c r="E140" s="57"/>
      <c r="F140" s="11">
        <v>7</v>
      </c>
      <c r="G140" s="12">
        <v>143000</v>
      </c>
      <c r="H140" s="13">
        <f>F140*$H$8+182</f>
        <v>147000</v>
      </c>
      <c r="I140" s="13">
        <f>F140*$I$8-378</f>
        <v>154000</v>
      </c>
      <c r="J140" s="13">
        <f>$F140*$J$8-341</f>
        <v>166000</v>
      </c>
      <c r="K140" s="13">
        <f>$F140*$K$8+115</f>
        <v>172000</v>
      </c>
      <c r="L140" s="13">
        <f>$F140*$L$8+76</f>
        <v>176000</v>
      </c>
      <c r="M140" s="13">
        <f t="shared" si="27"/>
        <v>182823</v>
      </c>
      <c r="N140" s="13">
        <f t="shared" si="25"/>
        <v>188000</v>
      </c>
      <c r="O140" s="13">
        <f t="shared" si="24"/>
        <v>192000</v>
      </c>
      <c r="P140" s="13">
        <f t="shared" si="28"/>
        <v>198000</v>
      </c>
      <c r="Q140" s="13">
        <f t="shared" si="29"/>
        <v>208000</v>
      </c>
      <c r="R140" s="13">
        <f t="shared" si="30"/>
        <v>223000</v>
      </c>
      <c r="S140" s="13">
        <f t="shared" si="31"/>
        <v>232000</v>
      </c>
      <c r="T140" s="13">
        <f t="shared" ref="T140:T203" si="35">ROUND(($F140*$T$8),-3)</f>
        <v>240000</v>
      </c>
      <c r="U140" s="13">
        <f t="shared" si="32"/>
        <v>249000</v>
      </c>
      <c r="V140" s="13">
        <f t="shared" si="33"/>
        <v>254000</v>
      </c>
      <c r="W140" s="13">
        <f t="shared" si="34"/>
        <v>266000</v>
      </c>
    </row>
    <row r="141" spans="2:23" ht="30" customHeight="1" x14ac:dyDescent="0.2">
      <c r="B141" s="9">
        <f>B138+1</f>
        <v>58</v>
      </c>
      <c r="C141" s="19" t="s">
        <v>215</v>
      </c>
      <c r="D141" s="19" t="s">
        <v>216</v>
      </c>
      <c r="E141" s="57"/>
      <c r="F141" s="14">
        <v>1300</v>
      </c>
      <c r="G141" s="12">
        <v>26067000</v>
      </c>
      <c r="H141" s="13">
        <f>F141*$H$8</f>
        <v>27266200</v>
      </c>
      <c r="I141" s="13">
        <f>F141*$I$8-200</f>
        <v>28670000</v>
      </c>
      <c r="J141" s="13">
        <f>$F141*$J$8+100</f>
        <v>30892000</v>
      </c>
      <c r="K141" s="13">
        <f>$F141*$K$8+500</f>
        <v>31922000</v>
      </c>
      <c r="L141" s="13">
        <f>$F141*$L$8+400</f>
        <v>32672000</v>
      </c>
      <c r="M141" s="13">
        <f t="shared" si="27"/>
        <v>33864180</v>
      </c>
      <c r="N141" s="13">
        <f t="shared" si="25"/>
        <v>34893000</v>
      </c>
      <c r="O141" s="13">
        <f t="shared" ref="O141:O204" si="36">ROUND(($F141*$O$8),-3)</f>
        <v>35731000</v>
      </c>
      <c r="P141" s="13">
        <f t="shared" si="28"/>
        <v>36763000</v>
      </c>
      <c r="Q141" s="13">
        <f t="shared" si="29"/>
        <v>38679000</v>
      </c>
      <c r="R141" s="13">
        <f t="shared" si="30"/>
        <v>41417000</v>
      </c>
      <c r="S141" s="13">
        <f t="shared" si="31"/>
        <v>43103000</v>
      </c>
      <c r="T141" s="13">
        <f t="shared" si="35"/>
        <v>44551000</v>
      </c>
      <c r="U141" s="13">
        <f t="shared" si="32"/>
        <v>46289000</v>
      </c>
      <c r="V141" s="13">
        <f t="shared" si="33"/>
        <v>47200000</v>
      </c>
      <c r="W141" s="13">
        <f t="shared" si="34"/>
        <v>49405000</v>
      </c>
    </row>
    <row r="142" spans="2:23" ht="30" customHeight="1" x14ac:dyDescent="0.2">
      <c r="B142" s="9">
        <f>B141+1</f>
        <v>59</v>
      </c>
      <c r="C142" s="19" t="s">
        <v>217</v>
      </c>
      <c r="D142" s="19"/>
      <c r="E142" s="57"/>
      <c r="F142" s="11"/>
      <c r="G142" s="9"/>
      <c r="H142" s="9"/>
      <c r="I142" s="9"/>
      <c r="J142" s="9"/>
      <c r="K142" s="9"/>
      <c r="L142" s="13" t="s">
        <v>0</v>
      </c>
      <c r="M142" s="13">
        <f t="shared" si="27"/>
        <v>480</v>
      </c>
      <c r="N142" s="13">
        <f t="shared" ref="N142:N205" si="37">ROUND(($F142*$N$8),-3)</f>
        <v>0</v>
      </c>
      <c r="O142" s="13">
        <f t="shared" si="36"/>
        <v>0</v>
      </c>
      <c r="P142" s="13">
        <f t="shared" si="28"/>
        <v>0</v>
      </c>
      <c r="Q142" s="13" t="s">
        <v>0</v>
      </c>
      <c r="R142" s="13">
        <f t="shared" si="30"/>
        <v>0</v>
      </c>
      <c r="S142" s="13">
        <f t="shared" si="31"/>
        <v>0</v>
      </c>
      <c r="T142" s="13">
        <f t="shared" si="35"/>
        <v>0</v>
      </c>
      <c r="U142" s="13">
        <f t="shared" si="32"/>
        <v>0</v>
      </c>
      <c r="V142" s="13">
        <f t="shared" si="33"/>
        <v>0</v>
      </c>
      <c r="W142" s="13">
        <f t="shared" si="34"/>
        <v>0</v>
      </c>
    </row>
    <row r="143" spans="2:23" ht="30" customHeight="1" x14ac:dyDescent="0.2">
      <c r="B143" s="9"/>
      <c r="C143" s="19" t="s">
        <v>186</v>
      </c>
      <c r="D143" s="19" t="s">
        <v>218</v>
      </c>
      <c r="E143" s="57"/>
      <c r="F143" s="14">
        <v>1400</v>
      </c>
      <c r="G143" s="12">
        <v>27870000</v>
      </c>
      <c r="H143" s="13">
        <f>F143*$H$8+400</f>
        <v>29364000</v>
      </c>
      <c r="I143" s="13">
        <f>F143*$I$8+400</f>
        <v>30876000</v>
      </c>
      <c r="J143" s="13">
        <f>$F143*$J$8-200</f>
        <v>33268000</v>
      </c>
      <c r="K143" s="13">
        <f>$F143*$K$8</f>
        <v>34377000</v>
      </c>
      <c r="L143" s="13">
        <f>$F143*$L$8+200</f>
        <v>35185000</v>
      </c>
      <c r="M143" s="13">
        <f t="shared" si="27"/>
        <v>36469080</v>
      </c>
      <c r="N143" s="13">
        <f t="shared" si="37"/>
        <v>37577000</v>
      </c>
      <c r="O143" s="13">
        <f t="shared" si="36"/>
        <v>38479000</v>
      </c>
      <c r="P143" s="13">
        <f t="shared" si="28"/>
        <v>39591000</v>
      </c>
      <c r="Q143" s="13">
        <f t="shared" si="29"/>
        <v>41654000</v>
      </c>
      <c r="R143" s="13">
        <f t="shared" si="30"/>
        <v>44603000</v>
      </c>
      <c r="S143" s="13">
        <f t="shared" si="31"/>
        <v>46418000</v>
      </c>
      <c r="T143" s="13">
        <f t="shared" si="35"/>
        <v>47978000</v>
      </c>
      <c r="U143" s="13">
        <f t="shared" si="32"/>
        <v>49850000</v>
      </c>
      <c r="V143" s="13">
        <f t="shared" si="33"/>
        <v>50831000</v>
      </c>
      <c r="W143" s="13">
        <f t="shared" si="34"/>
        <v>53206000</v>
      </c>
    </row>
    <row r="144" spans="2:23" ht="30" customHeight="1" x14ac:dyDescent="0.2">
      <c r="B144" s="9"/>
      <c r="C144" s="19" t="s">
        <v>188</v>
      </c>
      <c r="D144" s="19" t="s">
        <v>219</v>
      </c>
      <c r="E144" s="57"/>
      <c r="F144" s="14">
        <v>4500</v>
      </c>
      <c r="G144" s="12">
        <v>89183000</v>
      </c>
      <c r="H144" s="13">
        <f>F144*$H$8</f>
        <v>94383000</v>
      </c>
      <c r="I144" s="13">
        <f>F144*$I$8</f>
        <v>99243000</v>
      </c>
      <c r="J144" s="13">
        <f>$F144*$J$8+500</f>
        <v>106934000</v>
      </c>
      <c r="K144" s="13">
        <f>$F144*$K$8+500</f>
        <v>110498000</v>
      </c>
      <c r="L144" s="13">
        <f>$F144*$L$8</f>
        <v>113094000</v>
      </c>
      <c r="M144" s="13">
        <f t="shared" si="27"/>
        <v>117220980</v>
      </c>
      <c r="N144" s="13">
        <f t="shared" si="37"/>
        <v>120785000</v>
      </c>
      <c r="O144" s="13">
        <f t="shared" si="36"/>
        <v>123683000</v>
      </c>
      <c r="P144" s="13">
        <f t="shared" si="28"/>
        <v>127256000</v>
      </c>
      <c r="Q144" s="13">
        <f t="shared" si="29"/>
        <v>133889000</v>
      </c>
      <c r="R144" s="13">
        <f t="shared" si="30"/>
        <v>143366000</v>
      </c>
      <c r="S144" s="13">
        <f t="shared" si="31"/>
        <v>149202000</v>
      </c>
      <c r="T144" s="13">
        <f t="shared" si="35"/>
        <v>154215000</v>
      </c>
      <c r="U144" s="13">
        <f t="shared" si="32"/>
        <v>160232000</v>
      </c>
      <c r="V144" s="13">
        <f t="shared" si="33"/>
        <v>163386000</v>
      </c>
      <c r="W144" s="13">
        <f t="shared" si="34"/>
        <v>171018000</v>
      </c>
    </row>
    <row r="145" spans="2:23" ht="30" customHeight="1" x14ac:dyDescent="0.2">
      <c r="B145" s="9">
        <f>B142+1</f>
        <v>60</v>
      </c>
      <c r="C145" s="19" t="s">
        <v>220</v>
      </c>
      <c r="D145" s="19"/>
      <c r="E145" s="57"/>
      <c r="F145" s="11"/>
      <c r="G145" s="9"/>
      <c r="H145" s="9"/>
      <c r="I145" s="9"/>
      <c r="J145" s="9"/>
      <c r="K145" s="9"/>
      <c r="L145" s="13" t="s">
        <v>0</v>
      </c>
      <c r="M145" s="13">
        <f t="shared" si="27"/>
        <v>480</v>
      </c>
      <c r="N145" s="13">
        <f t="shared" si="37"/>
        <v>0</v>
      </c>
      <c r="O145" s="13">
        <f t="shared" si="36"/>
        <v>0</v>
      </c>
      <c r="P145" s="13">
        <f t="shared" si="28"/>
        <v>0</v>
      </c>
      <c r="Q145" s="13" t="s">
        <v>0</v>
      </c>
      <c r="R145" s="13">
        <f t="shared" si="30"/>
        <v>0</v>
      </c>
      <c r="S145" s="13">
        <f t="shared" si="31"/>
        <v>0</v>
      </c>
      <c r="T145" s="13">
        <f t="shared" si="35"/>
        <v>0</v>
      </c>
      <c r="U145" s="13">
        <f t="shared" si="32"/>
        <v>0</v>
      </c>
      <c r="V145" s="13">
        <f t="shared" si="33"/>
        <v>0</v>
      </c>
      <c r="W145" s="13">
        <f t="shared" si="34"/>
        <v>0</v>
      </c>
    </row>
    <row r="146" spans="2:23" ht="30" customHeight="1" x14ac:dyDescent="0.2">
      <c r="B146" s="9"/>
      <c r="C146" s="19" t="s">
        <v>221</v>
      </c>
      <c r="D146" s="19" t="s">
        <v>222</v>
      </c>
      <c r="E146" s="57"/>
      <c r="F146" s="14">
        <v>4500</v>
      </c>
      <c r="G146" s="12">
        <v>89183000</v>
      </c>
      <c r="H146" s="13">
        <f>F146*$H$8</f>
        <v>94383000</v>
      </c>
      <c r="I146" s="13">
        <f>F146*$I$8</f>
        <v>99243000</v>
      </c>
      <c r="J146" s="13">
        <f>$F146*$J$8+500</f>
        <v>106934000</v>
      </c>
      <c r="K146" s="13">
        <f>$F146*$K$8+500</f>
        <v>110498000</v>
      </c>
      <c r="L146" s="13">
        <f>$F146*$L$8</f>
        <v>113094000</v>
      </c>
      <c r="M146" s="13">
        <f t="shared" si="27"/>
        <v>117220980</v>
      </c>
      <c r="N146" s="13">
        <f t="shared" si="37"/>
        <v>120785000</v>
      </c>
      <c r="O146" s="13">
        <f t="shared" si="36"/>
        <v>123683000</v>
      </c>
      <c r="P146" s="13">
        <f t="shared" si="28"/>
        <v>127256000</v>
      </c>
      <c r="Q146" s="13">
        <f t="shared" si="29"/>
        <v>133889000</v>
      </c>
      <c r="R146" s="13">
        <f t="shared" si="30"/>
        <v>143366000</v>
      </c>
      <c r="S146" s="13">
        <f t="shared" si="31"/>
        <v>149202000</v>
      </c>
      <c r="T146" s="13">
        <f t="shared" si="35"/>
        <v>154215000</v>
      </c>
      <c r="U146" s="13">
        <f t="shared" si="32"/>
        <v>160232000</v>
      </c>
      <c r="V146" s="13">
        <f t="shared" si="33"/>
        <v>163386000</v>
      </c>
      <c r="W146" s="13">
        <f t="shared" si="34"/>
        <v>171018000</v>
      </c>
    </row>
    <row r="147" spans="2:23" ht="30" customHeight="1" x14ac:dyDescent="0.2">
      <c r="B147" s="9"/>
      <c r="C147" s="19" t="s">
        <v>194</v>
      </c>
      <c r="D147" s="19" t="s">
        <v>223</v>
      </c>
      <c r="E147" s="57"/>
      <c r="F147" s="14">
        <v>3300</v>
      </c>
      <c r="G147" s="12">
        <v>66888000</v>
      </c>
      <c r="H147" s="13">
        <f>F147*$H$8-200</f>
        <v>69214000</v>
      </c>
      <c r="I147" s="13">
        <f>F147*$I$8-200</f>
        <v>72778000</v>
      </c>
      <c r="J147" s="13">
        <f>$F147*$J$8+100</f>
        <v>78418000</v>
      </c>
      <c r="K147" s="13">
        <f>$F147*$K$8+500</f>
        <v>81032000</v>
      </c>
      <c r="L147" s="13">
        <f>$F147*$L$8+400</f>
        <v>82936000</v>
      </c>
      <c r="M147" s="13">
        <f t="shared" si="27"/>
        <v>85962180</v>
      </c>
      <c r="N147" s="13">
        <f t="shared" si="37"/>
        <v>88575000</v>
      </c>
      <c r="O147" s="13">
        <f t="shared" si="36"/>
        <v>90701000</v>
      </c>
      <c r="P147" s="13">
        <f t="shared" si="28"/>
        <v>93321000</v>
      </c>
      <c r="Q147" s="13">
        <f t="shared" si="29"/>
        <v>98185000</v>
      </c>
      <c r="R147" s="13">
        <f t="shared" si="30"/>
        <v>105135000</v>
      </c>
      <c r="S147" s="13">
        <f t="shared" si="31"/>
        <v>109415000</v>
      </c>
      <c r="T147" s="13">
        <f t="shared" si="35"/>
        <v>113091000</v>
      </c>
      <c r="U147" s="13">
        <f t="shared" si="32"/>
        <v>117503000</v>
      </c>
      <c r="V147" s="13">
        <f t="shared" si="33"/>
        <v>119816000</v>
      </c>
      <c r="W147" s="13">
        <f t="shared" si="34"/>
        <v>125413000</v>
      </c>
    </row>
    <row r="148" spans="2:23" ht="30" customHeight="1" x14ac:dyDescent="0.2">
      <c r="B148" s="9">
        <f>B145+1</f>
        <v>61</v>
      </c>
      <c r="C148" s="19" t="s">
        <v>224</v>
      </c>
      <c r="D148" s="19"/>
      <c r="E148" s="57"/>
      <c r="F148" s="11"/>
      <c r="G148" s="9"/>
      <c r="H148" s="9"/>
      <c r="I148" s="9"/>
      <c r="J148" s="9"/>
      <c r="K148" s="9"/>
      <c r="L148" s="13" t="s">
        <v>0</v>
      </c>
      <c r="M148" s="13">
        <f t="shared" si="27"/>
        <v>480</v>
      </c>
      <c r="N148" s="13">
        <f t="shared" si="37"/>
        <v>0</v>
      </c>
      <c r="O148" s="13">
        <f t="shared" si="36"/>
        <v>0</v>
      </c>
      <c r="P148" s="13">
        <f t="shared" si="28"/>
        <v>0</v>
      </c>
      <c r="Q148" s="13" t="s">
        <v>0</v>
      </c>
      <c r="R148" s="13">
        <f t="shared" si="30"/>
        <v>0</v>
      </c>
      <c r="S148" s="13">
        <f t="shared" si="31"/>
        <v>0</v>
      </c>
      <c r="T148" s="13">
        <f t="shared" si="35"/>
        <v>0</v>
      </c>
      <c r="U148" s="13">
        <f t="shared" si="32"/>
        <v>0</v>
      </c>
      <c r="V148" s="13">
        <f t="shared" si="33"/>
        <v>0</v>
      </c>
      <c r="W148" s="13">
        <f t="shared" si="34"/>
        <v>0</v>
      </c>
    </row>
    <row r="149" spans="2:23" ht="30" customHeight="1" x14ac:dyDescent="0.2">
      <c r="B149" s="9"/>
      <c r="C149" s="19" t="s">
        <v>14</v>
      </c>
      <c r="D149" s="19"/>
      <c r="E149" s="57"/>
      <c r="F149" s="14">
        <v>3300</v>
      </c>
      <c r="G149" s="12">
        <v>66888000</v>
      </c>
      <c r="H149" s="13">
        <f>F149*$H$8-200</f>
        <v>69214000</v>
      </c>
      <c r="I149" s="13">
        <f>F149*$I$8-200</f>
        <v>72778000</v>
      </c>
      <c r="J149" s="13">
        <f>$F149*$J$8+100</f>
        <v>78418000</v>
      </c>
      <c r="K149" s="13">
        <f>$F149*$K$8+500</f>
        <v>81032000</v>
      </c>
      <c r="L149" s="13">
        <f>$F149*$L$8+400</f>
        <v>82936000</v>
      </c>
      <c r="M149" s="13">
        <f t="shared" si="27"/>
        <v>85962180</v>
      </c>
      <c r="N149" s="13">
        <f t="shared" si="37"/>
        <v>88575000</v>
      </c>
      <c r="O149" s="13">
        <f t="shared" si="36"/>
        <v>90701000</v>
      </c>
      <c r="P149" s="13">
        <f t="shared" si="28"/>
        <v>93321000</v>
      </c>
      <c r="Q149" s="13">
        <f t="shared" si="29"/>
        <v>98185000</v>
      </c>
      <c r="R149" s="13">
        <f t="shared" si="30"/>
        <v>105135000</v>
      </c>
      <c r="S149" s="13">
        <f t="shared" si="31"/>
        <v>109415000</v>
      </c>
      <c r="T149" s="13">
        <f t="shared" si="35"/>
        <v>113091000</v>
      </c>
      <c r="U149" s="13">
        <f t="shared" si="32"/>
        <v>117503000</v>
      </c>
      <c r="V149" s="13">
        <f t="shared" si="33"/>
        <v>119816000</v>
      </c>
      <c r="W149" s="13">
        <f t="shared" si="34"/>
        <v>125413000</v>
      </c>
    </row>
    <row r="150" spans="2:23" ht="30" customHeight="1" x14ac:dyDescent="0.2">
      <c r="B150" s="9"/>
      <c r="C150" s="19" t="s">
        <v>16</v>
      </c>
      <c r="D150" s="19" t="s">
        <v>225</v>
      </c>
      <c r="E150" s="57"/>
      <c r="F150" s="14">
        <v>4500</v>
      </c>
      <c r="G150" s="12">
        <v>89183000</v>
      </c>
      <c r="H150" s="13">
        <f>F150*$H$8</f>
        <v>94383000</v>
      </c>
      <c r="I150" s="13">
        <f>F150*$I$8</f>
        <v>99243000</v>
      </c>
      <c r="J150" s="13">
        <f>$F150*$J$8+500</f>
        <v>106934000</v>
      </c>
      <c r="K150" s="13">
        <f>$F150*$K$8+500</f>
        <v>110498000</v>
      </c>
      <c r="L150" s="13">
        <f>$F150*$L$8</f>
        <v>113094000</v>
      </c>
      <c r="M150" s="13">
        <f t="shared" si="27"/>
        <v>117220980</v>
      </c>
      <c r="N150" s="13">
        <f t="shared" si="37"/>
        <v>120785000</v>
      </c>
      <c r="O150" s="13">
        <f t="shared" si="36"/>
        <v>123683000</v>
      </c>
      <c r="P150" s="13">
        <f t="shared" si="28"/>
        <v>127256000</v>
      </c>
      <c r="Q150" s="13">
        <f t="shared" si="29"/>
        <v>133889000</v>
      </c>
      <c r="R150" s="13">
        <f t="shared" si="30"/>
        <v>143366000</v>
      </c>
      <c r="S150" s="13">
        <f t="shared" si="31"/>
        <v>149202000</v>
      </c>
      <c r="T150" s="13">
        <f t="shared" si="35"/>
        <v>154215000</v>
      </c>
      <c r="U150" s="13">
        <f t="shared" si="32"/>
        <v>160232000</v>
      </c>
      <c r="V150" s="13">
        <f t="shared" si="33"/>
        <v>163386000</v>
      </c>
      <c r="W150" s="13">
        <f t="shared" si="34"/>
        <v>171018000</v>
      </c>
    </row>
    <row r="151" spans="2:23" ht="30" customHeight="1" x14ac:dyDescent="0.2">
      <c r="B151" s="9">
        <f>B148+1</f>
        <v>62</v>
      </c>
      <c r="C151" s="19" t="s">
        <v>226</v>
      </c>
      <c r="D151" s="19" t="s">
        <v>227</v>
      </c>
      <c r="E151" s="57"/>
      <c r="F151" s="11"/>
      <c r="G151" s="9"/>
      <c r="H151" s="9"/>
      <c r="I151" s="9"/>
      <c r="J151" s="9"/>
      <c r="K151" s="9"/>
      <c r="L151" s="13" t="s">
        <v>0</v>
      </c>
      <c r="M151" s="13">
        <f t="shared" si="27"/>
        <v>480</v>
      </c>
      <c r="N151" s="13">
        <f t="shared" si="37"/>
        <v>0</v>
      </c>
      <c r="O151" s="13">
        <f t="shared" si="36"/>
        <v>0</v>
      </c>
      <c r="P151" s="13">
        <f t="shared" si="28"/>
        <v>0</v>
      </c>
      <c r="Q151" s="13" t="s">
        <v>0</v>
      </c>
      <c r="R151" s="13">
        <f t="shared" si="30"/>
        <v>0</v>
      </c>
      <c r="S151" s="13">
        <f t="shared" si="31"/>
        <v>0</v>
      </c>
      <c r="T151" s="13">
        <f t="shared" si="35"/>
        <v>0</v>
      </c>
      <c r="U151" s="13">
        <f t="shared" si="32"/>
        <v>0</v>
      </c>
      <c r="V151" s="13">
        <f t="shared" si="33"/>
        <v>0</v>
      </c>
      <c r="W151" s="13">
        <f t="shared" si="34"/>
        <v>0</v>
      </c>
    </row>
    <row r="152" spans="2:23" ht="30" customHeight="1" x14ac:dyDescent="0.2">
      <c r="B152" s="9"/>
      <c r="C152" s="19" t="s">
        <v>228</v>
      </c>
      <c r="D152" s="19" t="s">
        <v>229</v>
      </c>
      <c r="E152" s="57"/>
      <c r="F152" s="14">
        <v>2800</v>
      </c>
      <c r="G152" s="12">
        <v>55740000</v>
      </c>
      <c r="H152" s="13">
        <f>F152*$H$8-200</f>
        <v>58727000</v>
      </c>
      <c r="I152" s="13">
        <f>F152*$I$8-200</f>
        <v>61751000</v>
      </c>
      <c r="J152" s="13">
        <f>$F152*$J$8-400</f>
        <v>66536000</v>
      </c>
      <c r="K152" s="13">
        <f>$F152*$K$8</f>
        <v>68754000</v>
      </c>
      <c r="L152" s="13">
        <f>$F152*$L$8+400</f>
        <v>70370000</v>
      </c>
      <c r="M152" s="13">
        <f t="shared" si="27"/>
        <v>72937680</v>
      </c>
      <c r="N152" s="13">
        <f t="shared" si="37"/>
        <v>75155000</v>
      </c>
      <c r="O152" s="13">
        <f t="shared" si="36"/>
        <v>76958000</v>
      </c>
      <c r="P152" s="13">
        <f t="shared" si="28"/>
        <v>79181000</v>
      </c>
      <c r="Q152" s="13">
        <f t="shared" si="29"/>
        <v>83308000</v>
      </c>
      <c r="R152" s="13">
        <f t="shared" si="30"/>
        <v>89205000</v>
      </c>
      <c r="S152" s="13">
        <f t="shared" si="31"/>
        <v>92837000</v>
      </c>
      <c r="T152" s="13">
        <f t="shared" si="35"/>
        <v>95956000</v>
      </c>
      <c r="U152" s="13">
        <f t="shared" si="32"/>
        <v>99700000</v>
      </c>
      <c r="V152" s="13">
        <f t="shared" si="33"/>
        <v>101662000</v>
      </c>
      <c r="W152" s="13">
        <f t="shared" si="34"/>
        <v>106411000</v>
      </c>
    </row>
    <row r="153" spans="2:23" ht="30" customHeight="1" x14ac:dyDescent="0.2">
      <c r="B153" s="9"/>
      <c r="C153" s="19" t="s">
        <v>230</v>
      </c>
      <c r="D153" s="19" t="s">
        <v>231</v>
      </c>
      <c r="E153" s="57"/>
      <c r="F153" s="14">
        <v>4500</v>
      </c>
      <c r="G153" s="12">
        <v>89183000</v>
      </c>
      <c r="H153" s="13">
        <f>F153*$H$8</f>
        <v>94383000</v>
      </c>
      <c r="I153" s="13">
        <f>F153*$I$8</f>
        <v>99243000</v>
      </c>
      <c r="J153" s="13">
        <f>$F153*$J$8+500</f>
        <v>106934000</v>
      </c>
      <c r="K153" s="13">
        <f>$F153*$K$8+500</f>
        <v>110498000</v>
      </c>
      <c r="L153" s="13">
        <f>$F153*$L$8</f>
        <v>113094000</v>
      </c>
      <c r="M153" s="13">
        <f t="shared" si="27"/>
        <v>117220980</v>
      </c>
      <c r="N153" s="13">
        <f t="shared" si="37"/>
        <v>120785000</v>
      </c>
      <c r="O153" s="13">
        <f t="shared" si="36"/>
        <v>123683000</v>
      </c>
      <c r="P153" s="13">
        <f t="shared" si="28"/>
        <v>127256000</v>
      </c>
      <c r="Q153" s="13">
        <f t="shared" si="29"/>
        <v>133889000</v>
      </c>
      <c r="R153" s="13">
        <f t="shared" si="30"/>
        <v>143366000</v>
      </c>
      <c r="S153" s="13">
        <f t="shared" si="31"/>
        <v>149202000</v>
      </c>
      <c r="T153" s="13">
        <f t="shared" si="35"/>
        <v>154215000</v>
      </c>
      <c r="U153" s="13">
        <f t="shared" si="32"/>
        <v>160232000</v>
      </c>
      <c r="V153" s="13">
        <f t="shared" si="33"/>
        <v>163386000</v>
      </c>
      <c r="W153" s="13">
        <f t="shared" si="34"/>
        <v>171018000</v>
      </c>
    </row>
    <row r="154" spans="2:23" ht="30" customHeight="1" x14ac:dyDescent="0.2">
      <c r="B154" s="9">
        <f>B151+1</f>
        <v>63</v>
      </c>
      <c r="C154" s="19" t="s">
        <v>232</v>
      </c>
      <c r="D154" s="19" t="s">
        <v>233</v>
      </c>
      <c r="E154" s="57"/>
      <c r="F154" s="14">
        <v>100000</v>
      </c>
      <c r="G154" s="12">
        <v>2007179000</v>
      </c>
      <c r="H154" s="13">
        <f>F154*$H$8</f>
        <v>2097400000</v>
      </c>
      <c r="I154" s="13">
        <f>F154*$I$8</f>
        <v>2205400000</v>
      </c>
      <c r="J154" s="13">
        <f>$F154*$J$8</f>
        <v>2376300000</v>
      </c>
      <c r="K154" s="13">
        <f>$F154*$K$8</f>
        <v>2455500000</v>
      </c>
      <c r="L154" s="13">
        <f>$F154*$L$8</f>
        <v>2513200000</v>
      </c>
      <c r="M154" s="13">
        <f t="shared" si="27"/>
        <v>2604900480</v>
      </c>
      <c r="N154" s="13">
        <f t="shared" si="37"/>
        <v>2684100000</v>
      </c>
      <c r="O154" s="13">
        <f t="shared" si="36"/>
        <v>2748500000</v>
      </c>
      <c r="P154" s="13">
        <f t="shared" si="28"/>
        <v>2827900000</v>
      </c>
      <c r="Q154" s="13">
        <f t="shared" si="29"/>
        <v>2975300000</v>
      </c>
      <c r="R154" s="13">
        <f t="shared" si="30"/>
        <v>3185900000</v>
      </c>
      <c r="S154" s="13">
        <f t="shared" si="31"/>
        <v>3315600000</v>
      </c>
      <c r="T154" s="13">
        <f t="shared" si="35"/>
        <v>3427000000</v>
      </c>
      <c r="U154" s="13">
        <f t="shared" si="32"/>
        <v>3560700000</v>
      </c>
      <c r="V154" s="13">
        <f t="shared" si="33"/>
        <v>3630800000</v>
      </c>
      <c r="W154" s="13">
        <f t="shared" si="34"/>
        <v>3800400000</v>
      </c>
    </row>
    <row r="155" spans="2:23" ht="30" customHeight="1" x14ac:dyDescent="0.2">
      <c r="B155" s="9">
        <f>B154+1</f>
        <v>64</v>
      </c>
      <c r="C155" s="19" t="s">
        <v>234</v>
      </c>
      <c r="D155" s="19" t="s">
        <v>235</v>
      </c>
      <c r="E155" s="57"/>
      <c r="F155" s="14">
        <v>100000</v>
      </c>
      <c r="G155" s="12">
        <v>2007179000</v>
      </c>
      <c r="H155" s="13">
        <f>F155*$H$8</f>
        <v>2097400000</v>
      </c>
      <c r="I155" s="13">
        <f>F155*$I$8</f>
        <v>2205400000</v>
      </c>
      <c r="J155" s="13">
        <f>$F155*$J$8</f>
        <v>2376300000</v>
      </c>
      <c r="K155" s="13">
        <f>$F155*$K$8</f>
        <v>2455500000</v>
      </c>
      <c r="L155" s="13">
        <f>$F155*$L$8</f>
        <v>2513200000</v>
      </c>
      <c r="M155" s="13">
        <f t="shared" si="27"/>
        <v>2604900480</v>
      </c>
      <c r="N155" s="13">
        <f t="shared" si="37"/>
        <v>2684100000</v>
      </c>
      <c r="O155" s="13">
        <f t="shared" si="36"/>
        <v>2748500000</v>
      </c>
      <c r="P155" s="13">
        <f t="shared" si="28"/>
        <v>2827900000</v>
      </c>
      <c r="Q155" s="13">
        <f t="shared" si="29"/>
        <v>2975300000</v>
      </c>
      <c r="R155" s="13">
        <f t="shared" si="30"/>
        <v>3185900000</v>
      </c>
      <c r="S155" s="13">
        <f t="shared" si="31"/>
        <v>3315600000</v>
      </c>
      <c r="T155" s="13">
        <f t="shared" si="35"/>
        <v>3427000000</v>
      </c>
      <c r="U155" s="13">
        <f t="shared" si="32"/>
        <v>3560700000</v>
      </c>
      <c r="V155" s="13">
        <f t="shared" si="33"/>
        <v>3630800000</v>
      </c>
      <c r="W155" s="13">
        <f t="shared" si="34"/>
        <v>3800400000</v>
      </c>
    </row>
    <row r="156" spans="2:23" ht="30" customHeight="1" x14ac:dyDescent="0.2">
      <c r="B156" s="9">
        <f>B155+1</f>
        <v>65</v>
      </c>
      <c r="C156" s="19" t="s">
        <v>236</v>
      </c>
      <c r="D156" s="19"/>
      <c r="E156" s="57"/>
      <c r="F156" s="11"/>
      <c r="G156" s="9"/>
      <c r="H156" s="9"/>
      <c r="I156" s="9"/>
      <c r="J156" s="9"/>
      <c r="K156" s="9"/>
      <c r="L156" s="13" t="s">
        <v>0</v>
      </c>
      <c r="M156" s="13">
        <f t="shared" si="27"/>
        <v>480</v>
      </c>
      <c r="N156" s="13">
        <f t="shared" si="37"/>
        <v>0</v>
      </c>
      <c r="O156" s="13">
        <f t="shared" si="36"/>
        <v>0</v>
      </c>
      <c r="P156" s="13">
        <f t="shared" si="28"/>
        <v>0</v>
      </c>
      <c r="Q156" s="13" t="s">
        <v>0</v>
      </c>
      <c r="R156" s="13">
        <f t="shared" si="30"/>
        <v>0</v>
      </c>
      <c r="S156" s="13">
        <f t="shared" si="31"/>
        <v>0</v>
      </c>
      <c r="T156" s="13">
        <f t="shared" si="35"/>
        <v>0</v>
      </c>
      <c r="U156" s="13">
        <f t="shared" si="32"/>
        <v>0</v>
      </c>
      <c r="V156" s="13">
        <f t="shared" si="33"/>
        <v>0</v>
      </c>
      <c r="W156" s="13">
        <f t="shared" si="34"/>
        <v>0</v>
      </c>
    </row>
    <row r="157" spans="2:23" ht="30" customHeight="1" x14ac:dyDescent="0.2">
      <c r="B157" s="9"/>
      <c r="C157" s="19" t="s">
        <v>237</v>
      </c>
      <c r="D157" s="19" t="s">
        <v>238</v>
      </c>
      <c r="E157" s="57"/>
      <c r="F157" s="14">
        <v>28000</v>
      </c>
      <c r="G157" s="12">
        <v>557396000</v>
      </c>
      <c r="H157" s="13">
        <f t="shared" ref="H157:H167" si="38">F157*$H$8</f>
        <v>587272000</v>
      </c>
      <c r="I157" s="13">
        <f t="shared" ref="I157:I167" si="39">F157*$I$8</f>
        <v>617512000</v>
      </c>
      <c r="J157" s="13">
        <f>$F157*$J$8</f>
        <v>665364000</v>
      </c>
      <c r="K157" s="13">
        <f>$F157*$K$8</f>
        <v>687540000</v>
      </c>
      <c r="L157" s="13">
        <f>$F157*$L$8</f>
        <v>703696000</v>
      </c>
      <c r="M157" s="13">
        <f t="shared" si="27"/>
        <v>729372480</v>
      </c>
      <c r="N157" s="13">
        <f t="shared" si="37"/>
        <v>751548000</v>
      </c>
      <c r="O157" s="13">
        <f t="shared" si="36"/>
        <v>769580000</v>
      </c>
      <c r="P157" s="13">
        <f t="shared" si="28"/>
        <v>791812000</v>
      </c>
      <c r="Q157" s="13">
        <f t="shared" si="29"/>
        <v>833084000</v>
      </c>
      <c r="R157" s="13">
        <f t="shared" si="30"/>
        <v>892052000</v>
      </c>
      <c r="S157" s="13">
        <f t="shared" si="31"/>
        <v>928368000</v>
      </c>
      <c r="T157" s="13">
        <f t="shared" si="35"/>
        <v>959560000</v>
      </c>
      <c r="U157" s="13">
        <f t="shared" si="32"/>
        <v>996996000</v>
      </c>
      <c r="V157" s="13">
        <f t="shared" si="33"/>
        <v>1016624000</v>
      </c>
      <c r="W157" s="13">
        <f t="shared" si="34"/>
        <v>1064112000</v>
      </c>
    </row>
    <row r="158" spans="2:23" ht="30" customHeight="1" x14ac:dyDescent="0.2">
      <c r="B158" s="9"/>
      <c r="C158" s="19" t="s">
        <v>239</v>
      </c>
      <c r="D158" s="19" t="s">
        <v>240</v>
      </c>
      <c r="E158" s="57"/>
      <c r="F158" s="14">
        <v>39000</v>
      </c>
      <c r="G158" s="12">
        <v>780355000</v>
      </c>
      <c r="H158" s="13">
        <f t="shared" si="38"/>
        <v>817986000</v>
      </c>
      <c r="I158" s="13">
        <f t="shared" si="39"/>
        <v>860106000</v>
      </c>
      <c r="J158" s="13">
        <f>$F158*$J$8</f>
        <v>926757000</v>
      </c>
      <c r="K158" s="13">
        <f>$F158*$K$8</f>
        <v>957645000</v>
      </c>
      <c r="L158" s="13">
        <f>$F158*$L$8</f>
        <v>980148000</v>
      </c>
      <c r="M158" s="13">
        <f t="shared" si="27"/>
        <v>1015911480</v>
      </c>
      <c r="N158" s="13">
        <f t="shared" si="37"/>
        <v>1046799000</v>
      </c>
      <c r="O158" s="13">
        <f t="shared" si="36"/>
        <v>1071915000</v>
      </c>
      <c r="P158" s="13">
        <f t="shared" si="28"/>
        <v>1102881000</v>
      </c>
      <c r="Q158" s="13">
        <f t="shared" si="29"/>
        <v>1160367000</v>
      </c>
      <c r="R158" s="13">
        <f t="shared" si="30"/>
        <v>1242501000</v>
      </c>
      <c r="S158" s="13">
        <f t="shared" si="31"/>
        <v>1293084000</v>
      </c>
      <c r="T158" s="13">
        <f t="shared" si="35"/>
        <v>1336530000</v>
      </c>
      <c r="U158" s="13">
        <f t="shared" si="32"/>
        <v>1388673000</v>
      </c>
      <c r="V158" s="13">
        <f t="shared" si="33"/>
        <v>1416012000</v>
      </c>
      <c r="W158" s="13">
        <f t="shared" si="34"/>
        <v>1482156000</v>
      </c>
    </row>
    <row r="159" spans="2:23" ht="30" customHeight="1" x14ac:dyDescent="0.2">
      <c r="B159" s="9"/>
      <c r="C159" s="19" t="s">
        <v>241</v>
      </c>
      <c r="D159" s="19" t="s">
        <v>242</v>
      </c>
      <c r="E159" s="57"/>
      <c r="F159" s="14">
        <v>39000</v>
      </c>
      <c r="G159" s="12">
        <v>780355000</v>
      </c>
      <c r="H159" s="13">
        <f t="shared" si="38"/>
        <v>817986000</v>
      </c>
      <c r="I159" s="13">
        <f t="shared" si="39"/>
        <v>860106000</v>
      </c>
      <c r="J159" s="13">
        <f>$F159*$J$8</f>
        <v>926757000</v>
      </c>
      <c r="K159" s="13">
        <f>$F159*$K$8</f>
        <v>957645000</v>
      </c>
      <c r="L159" s="13">
        <f>$F159*$L$8</f>
        <v>980148000</v>
      </c>
      <c r="M159" s="13">
        <f t="shared" si="27"/>
        <v>1015911480</v>
      </c>
      <c r="N159" s="13">
        <f t="shared" si="37"/>
        <v>1046799000</v>
      </c>
      <c r="O159" s="13">
        <f t="shared" si="36"/>
        <v>1071915000</v>
      </c>
      <c r="P159" s="13">
        <f t="shared" si="28"/>
        <v>1102881000</v>
      </c>
      <c r="Q159" s="13">
        <f t="shared" si="29"/>
        <v>1160367000</v>
      </c>
      <c r="R159" s="13">
        <f t="shared" si="30"/>
        <v>1242501000</v>
      </c>
      <c r="S159" s="13">
        <f t="shared" si="31"/>
        <v>1293084000</v>
      </c>
      <c r="T159" s="13">
        <f t="shared" si="35"/>
        <v>1336530000</v>
      </c>
      <c r="U159" s="13">
        <f t="shared" si="32"/>
        <v>1388673000</v>
      </c>
      <c r="V159" s="13">
        <f t="shared" si="33"/>
        <v>1416012000</v>
      </c>
      <c r="W159" s="13">
        <f t="shared" si="34"/>
        <v>1482156000</v>
      </c>
    </row>
    <row r="160" spans="2:23" ht="30" customHeight="1" x14ac:dyDescent="0.2">
      <c r="B160" s="9"/>
      <c r="C160" s="19" t="s">
        <v>243</v>
      </c>
      <c r="D160" s="19" t="s">
        <v>244</v>
      </c>
      <c r="E160" s="57"/>
      <c r="F160" s="14">
        <v>39000</v>
      </c>
      <c r="G160" s="12">
        <v>780355000</v>
      </c>
      <c r="H160" s="13">
        <f t="shared" si="38"/>
        <v>817986000</v>
      </c>
      <c r="I160" s="13">
        <f t="shared" si="39"/>
        <v>860106000</v>
      </c>
      <c r="J160" s="13">
        <f>$F160*$J$8</f>
        <v>926757000</v>
      </c>
      <c r="K160" s="13">
        <f>$F160*$K$8</f>
        <v>957645000</v>
      </c>
      <c r="L160" s="13">
        <f>$F160*$L$8</f>
        <v>980148000</v>
      </c>
      <c r="M160" s="13">
        <f t="shared" si="27"/>
        <v>1015911480</v>
      </c>
      <c r="N160" s="13">
        <f t="shared" si="37"/>
        <v>1046799000</v>
      </c>
      <c r="O160" s="13">
        <f t="shared" si="36"/>
        <v>1071915000</v>
      </c>
      <c r="P160" s="13">
        <f t="shared" si="28"/>
        <v>1102881000</v>
      </c>
      <c r="Q160" s="13">
        <f t="shared" si="29"/>
        <v>1160367000</v>
      </c>
      <c r="R160" s="13">
        <f t="shared" si="30"/>
        <v>1242501000</v>
      </c>
      <c r="S160" s="13">
        <f t="shared" si="31"/>
        <v>1293084000</v>
      </c>
      <c r="T160" s="13">
        <f t="shared" si="35"/>
        <v>1336530000</v>
      </c>
      <c r="U160" s="13">
        <f t="shared" si="32"/>
        <v>1388673000</v>
      </c>
      <c r="V160" s="13">
        <f t="shared" si="33"/>
        <v>1416012000</v>
      </c>
      <c r="W160" s="13">
        <f t="shared" si="34"/>
        <v>1482156000</v>
      </c>
    </row>
    <row r="161" spans="2:23" ht="30" customHeight="1" x14ac:dyDescent="0.2">
      <c r="B161" s="9"/>
      <c r="C161" s="19" t="s">
        <v>245</v>
      </c>
      <c r="D161" s="19" t="s">
        <v>246</v>
      </c>
      <c r="E161" s="57"/>
      <c r="F161" s="14">
        <v>39000</v>
      </c>
      <c r="G161" s="12">
        <v>780355000</v>
      </c>
      <c r="H161" s="13">
        <f t="shared" si="38"/>
        <v>817986000</v>
      </c>
      <c r="I161" s="13">
        <f t="shared" si="39"/>
        <v>860106000</v>
      </c>
      <c r="J161" s="13">
        <f>$F161*$J$8</f>
        <v>926757000</v>
      </c>
      <c r="K161" s="13">
        <f>$F161*$K$8</f>
        <v>957645000</v>
      </c>
      <c r="L161" s="13">
        <f>$F161*$L$8</f>
        <v>980148000</v>
      </c>
      <c r="M161" s="13">
        <f t="shared" si="27"/>
        <v>1015911480</v>
      </c>
      <c r="N161" s="13">
        <f t="shared" si="37"/>
        <v>1046799000</v>
      </c>
      <c r="O161" s="13">
        <f t="shared" si="36"/>
        <v>1071915000</v>
      </c>
      <c r="P161" s="13">
        <f t="shared" si="28"/>
        <v>1102881000</v>
      </c>
      <c r="Q161" s="13">
        <f t="shared" si="29"/>
        <v>1160367000</v>
      </c>
      <c r="R161" s="13">
        <f t="shared" si="30"/>
        <v>1242501000</v>
      </c>
      <c r="S161" s="13">
        <f t="shared" si="31"/>
        <v>1293084000</v>
      </c>
      <c r="T161" s="13">
        <f t="shared" si="35"/>
        <v>1336530000</v>
      </c>
      <c r="U161" s="13">
        <f t="shared" si="32"/>
        <v>1388673000</v>
      </c>
      <c r="V161" s="13">
        <f t="shared" si="33"/>
        <v>1416012000</v>
      </c>
      <c r="W161" s="13">
        <f t="shared" si="34"/>
        <v>1482156000</v>
      </c>
    </row>
    <row r="162" spans="2:23" ht="30" customHeight="1" x14ac:dyDescent="0.2">
      <c r="B162" s="9">
        <f>B156+1</f>
        <v>66</v>
      </c>
      <c r="C162" s="19" t="s">
        <v>247</v>
      </c>
      <c r="D162" s="19" t="s">
        <v>248</v>
      </c>
      <c r="E162" s="57"/>
      <c r="F162" s="11">
        <v>10</v>
      </c>
      <c r="G162" s="12">
        <v>201000</v>
      </c>
      <c r="H162" s="13">
        <f>F162*$H$8+260</f>
        <v>210000</v>
      </c>
      <c r="I162" s="13">
        <f>F162*$I$8+460</f>
        <v>221000</v>
      </c>
      <c r="J162" s="13">
        <f>$F162*$J$8+370</f>
        <v>238000</v>
      </c>
      <c r="K162" s="13">
        <f>$F162*$K$8+450</f>
        <v>246000</v>
      </c>
      <c r="L162" s="13">
        <f>$F162*$L$8-320</f>
        <v>251000</v>
      </c>
      <c r="M162" s="13">
        <f>$F162*$M$8-490</f>
        <v>260000</v>
      </c>
      <c r="N162" s="13">
        <f t="shared" si="37"/>
        <v>268000</v>
      </c>
      <c r="O162" s="13">
        <f t="shared" si="36"/>
        <v>275000</v>
      </c>
      <c r="P162" s="13">
        <f t="shared" si="28"/>
        <v>283000</v>
      </c>
      <c r="Q162" s="13">
        <f t="shared" si="29"/>
        <v>298000</v>
      </c>
      <c r="R162" s="13">
        <f t="shared" si="30"/>
        <v>319000</v>
      </c>
      <c r="S162" s="13">
        <f t="shared" si="31"/>
        <v>332000</v>
      </c>
      <c r="T162" s="13">
        <f t="shared" si="35"/>
        <v>343000</v>
      </c>
      <c r="U162" s="13">
        <f t="shared" si="32"/>
        <v>356000</v>
      </c>
      <c r="V162" s="13">
        <f t="shared" si="33"/>
        <v>363000</v>
      </c>
      <c r="W162" s="13">
        <f t="shared" si="34"/>
        <v>380000</v>
      </c>
    </row>
    <row r="163" spans="2:23" ht="30" customHeight="1" x14ac:dyDescent="0.2">
      <c r="B163" s="9">
        <f t="shared" ref="B163:B171" si="40">B162+1</f>
        <v>67</v>
      </c>
      <c r="C163" s="19" t="s">
        <v>249</v>
      </c>
      <c r="D163" s="19" t="s">
        <v>250</v>
      </c>
      <c r="E163" s="57"/>
      <c r="F163" s="14">
        <v>2500</v>
      </c>
      <c r="G163" s="12">
        <v>55074000</v>
      </c>
      <c r="H163" s="13">
        <f t="shared" si="38"/>
        <v>52435000</v>
      </c>
      <c r="I163" s="13">
        <f t="shared" si="39"/>
        <v>55135000</v>
      </c>
      <c r="J163" s="13">
        <f>$F163*$J$8+500</f>
        <v>59408000</v>
      </c>
      <c r="K163" s="13">
        <f>$F163*$K$8+500</f>
        <v>61388000</v>
      </c>
      <c r="L163" s="13">
        <f>$F163*$L$8</f>
        <v>62830000</v>
      </c>
      <c r="M163" s="13">
        <f t="shared" si="27"/>
        <v>65122980</v>
      </c>
      <c r="N163" s="13">
        <f t="shared" si="37"/>
        <v>67103000</v>
      </c>
      <c r="O163" s="13">
        <f t="shared" si="36"/>
        <v>68713000</v>
      </c>
      <c r="P163" s="13">
        <f t="shared" si="28"/>
        <v>70698000</v>
      </c>
      <c r="Q163" s="13">
        <f t="shared" si="29"/>
        <v>74383000</v>
      </c>
      <c r="R163" s="13">
        <f t="shared" si="30"/>
        <v>79648000</v>
      </c>
      <c r="S163" s="13">
        <f t="shared" si="31"/>
        <v>82890000</v>
      </c>
      <c r="T163" s="13">
        <f t="shared" si="35"/>
        <v>85675000</v>
      </c>
      <c r="U163" s="13">
        <f t="shared" si="32"/>
        <v>89018000</v>
      </c>
      <c r="V163" s="13">
        <f t="shared" si="33"/>
        <v>90770000</v>
      </c>
      <c r="W163" s="13">
        <f t="shared" si="34"/>
        <v>95010000</v>
      </c>
    </row>
    <row r="164" spans="2:23" ht="30" customHeight="1" x14ac:dyDescent="0.2">
      <c r="B164" s="9">
        <f t="shared" si="40"/>
        <v>68</v>
      </c>
      <c r="C164" s="19" t="s">
        <v>251</v>
      </c>
      <c r="D164" s="19" t="s">
        <v>252</v>
      </c>
      <c r="E164" s="57"/>
      <c r="F164" s="14">
        <v>5000</v>
      </c>
      <c r="G164" s="12">
        <v>100149000</v>
      </c>
      <c r="H164" s="13">
        <f t="shared" si="38"/>
        <v>104870000</v>
      </c>
      <c r="I164" s="13">
        <f t="shared" si="39"/>
        <v>110270000</v>
      </c>
      <c r="J164" s="13">
        <f>$F164*$J$8</f>
        <v>118815000</v>
      </c>
      <c r="K164" s="13">
        <f>$F164*$K$8</f>
        <v>122775000</v>
      </c>
      <c r="L164" s="13">
        <f>$F164*$L$8</f>
        <v>125660000</v>
      </c>
      <c r="M164" s="13">
        <f t="shared" si="27"/>
        <v>130245480</v>
      </c>
      <c r="N164" s="13">
        <f t="shared" si="37"/>
        <v>134205000</v>
      </c>
      <c r="O164" s="13">
        <f t="shared" si="36"/>
        <v>137425000</v>
      </c>
      <c r="P164" s="13">
        <f t="shared" si="28"/>
        <v>141395000</v>
      </c>
      <c r="Q164" s="13">
        <f t="shared" si="29"/>
        <v>148765000</v>
      </c>
      <c r="R164" s="13">
        <f t="shared" si="30"/>
        <v>159295000</v>
      </c>
      <c r="S164" s="13">
        <f t="shared" si="31"/>
        <v>165780000</v>
      </c>
      <c r="T164" s="13">
        <f t="shared" si="35"/>
        <v>171350000</v>
      </c>
      <c r="U164" s="13">
        <f t="shared" si="32"/>
        <v>178035000</v>
      </c>
      <c r="V164" s="13">
        <f t="shared" si="33"/>
        <v>181540000</v>
      </c>
      <c r="W164" s="13">
        <f t="shared" si="34"/>
        <v>190020000</v>
      </c>
    </row>
    <row r="165" spans="2:23" ht="30" customHeight="1" x14ac:dyDescent="0.2">
      <c r="B165" s="9">
        <f t="shared" si="40"/>
        <v>69</v>
      </c>
      <c r="C165" s="19" t="s">
        <v>253</v>
      </c>
      <c r="D165" s="19" t="s">
        <v>254</v>
      </c>
      <c r="E165" s="57"/>
      <c r="F165" s="14">
        <v>15000</v>
      </c>
      <c r="G165" s="12">
        <v>296640000</v>
      </c>
      <c r="H165" s="13">
        <f t="shared" si="38"/>
        <v>314610000</v>
      </c>
      <c r="I165" s="13">
        <f t="shared" si="39"/>
        <v>330810000</v>
      </c>
      <c r="J165" s="13">
        <f>$F165*$J$8</f>
        <v>356445000</v>
      </c>
      <c r="K165" s="13">
        <f>$F165*$K$8</f>
        <v>368325000</v>
      </c>
      <c r="L165" s="13">
        <f>$F165*$L$8</f>
        <v>376980000</v>
      </c>
      <c r="M165" s="13">
        <f t="shared" si="27"/>
        <v>390735480</v>
      </c>
      <c r="N165" s="13">
        <f t="shared" si="37"/>
        <v>402615000</v>
      </c>
      <c r="O165" s="13">
        <f t="shared" si="36"/>
        <v>412275000</v>
      </c>
      <c r="P165" s="13">
        <f t="shared" si="28"/>
        <v>424185000</v>
      </c>
      <c r="Q165" s="13">
        <f t="shared" si="29"/>
        <v>446295000</v>
      </c>
      <c r="R165" s="13">
        <f t="shared" si="30"/>
        <v>477885000</v>
      </c>
      <c r="S165" s="13">
        <f t="shared" si="31"/>
        <v>497340000</v>
      </c>
      <c r="T165" s="13">
        <f t="shared" si="35"/>
        <v>514050000</v>
      </c>
      <c r="U165" s="13">
        <f t="shared" si="32"/>
        <v>534105000</v>
      </c>
      <c r="V165" s="13">
        <f t="shared" si="33"/>
        <v>544620000</v>
      </c>
      <c r="W165" s="13">
        <f t="shared" si="34"/>
        <v>570060000</v>
      </c>
    </row>
    <row r="166" spans="2:23" ht="30" customHeight="1" x14ac:dyDescent="0.2">
      <c r="B166" s="9">
        <f t="shared" si="40"/>
        <v>70</v>
      </c>
      <c r="C166" s="19" t="s">
        <v>255</v>
      </c>
      <c r="D166" s="19" t="s">
        <v>256</v>
      </c>
      <c r="E166" s="57"/>
      <c r="F166" s="11">
        <v>950</v>
      </c>
      <c r="G166" s="12">
        <v>19044000</v>
      </c>
      <c r="H166" s="13">
        <f>F166*$H$8-300</f>
        <v>19925000</v>
      </c>
      <c r="I166" s="13">
        <f>F166*$I$8-300</f>
        <v>20951000</v>
      </c>
      <c r="J166" s="13">
        <f>$F166*$J$8+150</f>
        <v>22575000</v>
      </c>
      <c r="K166" s="13">
        <f>$F166*$K$8-250</f>
        <v>23327000</v>
      </c>
      <c r="L166" s="13">
        <f>$F166*$L$8-400</f>
        <v>23875000</v>
      </c>
      <c r="M166" s="13">
        <f t="shared" si="27"/>
        <v>24747030</v>
      </c>
      <c r="N166" s="13">
        <f t="shared" si="37"/>
        <v>25499000</v>
      </c>
      <c r="O166" s="13">
        <f t="shared" si="36"/>
        <v>26111000</v>
      </c>
      <c r="P166" s="13">
        <f t="shared" si="28"/>
        <v>26865000</v>
      </c>
      <c r="Q166" s="13">
        <f t="shared" si="29"/>
        <v>28265000</v>
      </c>
      <c r="R166" s="13">
        <f t="shared" si="30"/>
        <v>30266000</v>
      </c>
      <c r="S166" s="13">
        <f t="shared" si="31"/>
        <v>31498000</v>
      </c>
      <c r="T166" s="13">
        <f t="shared" si="35"/>
        <v>32557000</v>
      </c>
      <c r="U166" s="13">
        <f t="shared" si="32"/>
        <v>33827000</v>
      </c>
      <c r="V166" s="13">
        <f t="shared" si="33"/>
        <v>34493000</v>
      </c>
      <c r="W166" s="13">
        <f t="shared" si="34"/>
        <v>36104000</v>
      </c>
    </row>
    <row r="167" spans="2:23" ht="30" customHeight="1" x14ac:dyDescent="0.2">
      <c r="B167" s="9">
        <f t="shared" si="40"/>
        <v>71</v>
      </c>
      <c r="C167" s="19" t="s">
        <v>257</v>
      </c>
      <c r="D167" s="19" t="s">
        <v>258</v>
      </c>
      <c r="E167" s="57"/>
      <c r="F167" s="14">
        <v>20000</v>
      </c>
      <c r="G167" s="12">
        <v>401436000</v>
      </c>
      <c r="H167" s="13">
        <f t="shared" si="38"/>
        <v>419480000</v>
      </c>
      <c r="I167" s="13">
        <f t="shared" si="39"/>
        <v>441080000</v>
      </c>
      <c r="J167" s="13">
        <f>$F167*$J$8</f>
        <v>475260000</v>
      </c>
      <c r="K167" s="13">
        <f>$F167*$K$8</f>
        <v>491100000</v>
      </c>
      <c r="L167" s="13">
        <f>$F167*$L$8</f>
        <v>502640000</v>
      </c>
      <c r="M167" s="13">
        <f t="shared" si="27"/>
        <v>520980480</v>
      </c>
      <c r="N167" s="13">
        <f t="shared" si="37"/>
        <v>536820000</v>
      </c>
      <c r="O167" s="13">
        <f t="shared" si="36"/>
        <v>549700000</v>
      </c>
      <c r="P167" s="13">
        <f t="shared" si="28"/>
        <v>565580000</v>
      </c>
      <c r="Q167" s="13">
        <f t="shared" si="29"/>
        <v>595060000</v>
      </c>
      <c r="R167" s="13">
        <f t="shared" si="30"/>
        <v>637180000</v>
      </c>
      <c r="S167" s="13">
        <f t="shared" si="31"/>
        <v>663120000</v>
      </c>
      <c r="T167" s="13">
        <f t="shared" si="35"/>
        <v>685400000</v>
      </c>
      <c r="U167" s="13">
        <f t="shared" si="32"/>
        <v>712140000</v>
      </c>
      <c r="V167" s="13">
        <f t="shared" si="33"/>
        <v>726160000</v>
      </c>
      <c r="W167" s="13">
        <f t="shared" si="34"/>
        <v>760080000</v>
      </c>
    </row>
    <row r="168" spans="2:23" ht="30" customHeight="1" x14ac:dyDescent="0.2">
      <c r="B168" s="9">
        <f t="shared" si="40"/>
        <v>72</v>
      </c>
      <c r="C168" s="19" t="s">
        <v>259</v>
      </c>
      <c r="D168" s="19" t="s">
        <v>260</v>
      </c>
      <c r="E168" s="57"/>
      <c r="F168" s="11">
        <v>590</v>
      </c>
      <c r="G168" s="12">
        <v>11866000</v>
      </c>
      <c r="H168" s="13">
        <f>F168*$H$8+340</f>
        <v>12375000</v>
      </c>
      <c r="I168" s="13">
        <f>F168*$I$8+140</f>
        <v>13012000</v>
      </c>
      <c r="J168" s="13">
        <f>$F168*$J$8-170</f>
        <v>14020000</v>
      </c>
      <c r="K168" s="13">
        <f>$F168*$K$8-450</f>
        <v>14487000</v>
      </c>
      <c r="L168" s="13">
        <f>$F168*$L$8+120</f>
        <v>14828000</v>
      </c>
      <c r="M168" s="13">
        <f t="shared" si="27"/>
        <v>15369390</v>
      </c>
      <c r="N168" s="13">
        <f t="shared" si="37"/>
        <v>15836000</v>
      </c>
      <c r="O168" s="13">
        <f t="shared" si="36"/>
        <v>16216000</v>
      </c>
      <c r="P168" s="13">
        <f t="shared" si="28"/>
        <v>16685000</v>
      </c>
      <c r="Q168" s="13">
        <f t="shared" si="29"/>
        <v>17554000</v>
      </c>
      <c r="R168" s="13">
        <f t="shared" si="30"/>
        <v>18797000</v>
      </c>
      <c r="S168" s="13">
        <f t="shared" si="31"/>
        <v>19562000</v>
      </c>
      <c r="T168" s="13">
        <f t="shared" si="35"/>
        <v>20219000</v>
      </c>
      <c r="U168" s="13">
        <f t="shared" si="32"/>
        <v>21008000</v>
      </c>
      <c r="V168" s="13">
        <f t="shared" si="33"/>
        <v>21422000</v>
      </c>
      <c r="W168" s="13">
        <f t="shared" si="34"/>
        <v>22422000</v>
      </c>
    </row>
    <row r="169" spans="2:23" ht="30" customHeight="1" x14ac:dyDescent="0.2">
      <c r="B169" s="9">
        <f t="shared" si="40"/>
        <v>73</v>
      </c>
      <c r="C169" s="19" t="s">
        <v>261</v>
      </c>
      <c r="D169" s="19" t="s">
        <v>262</v>
      </c>
      <c r="E169" s="57"/>
      <c r="F169" s="11">
        <v>590</v>
      </c>
      <c r="G169" s="12">
        <v>11866000</v>
      </c>
      <c r="H169" s="13">
        <f>F169*$H$8+340</f>
        <v>12375000</v>
      </c>
      <c r="I169" s="13">
        <f>F169*$I$8+140</f>
        <v>13012000</v>
      </c>
      <c r="J169" s="13">
        <f>$F169*$J$8-170</f>
        <v>14020000</v>
      </c>
      <c r="K169" s="13">
        <f>$F169*$K$8-450</f>
        <v>14487000</v>
      </c>
      <c r="L169" s="13">
        <f>$F169*$L$8+120</f>
        <v>14828000</v>
      </c>
      <c r="M169" s="13">
        <f t="shared" si="27"/>
        <v>15369390</v>
      </c>
      <c r="N169" s="13">
        <f t="shared" si="37"/>
        <v>15836000</v>
      </c>
      <c r="O169" s="13">
        <f t="shared" si="36"/>
        <v>16216000</v>
      </c>
      <c r="P169" s="13">
        <f t="shared" si="28"/>
        <v>16685000</v>
      </c>
      <c r="Q169" s="13">
        <f t="shared" si="29"/>
        <v>17554000</v>
      </c>
      <c r="R169" s="13">
        <f t="shared" si="30"/>
        <v>18797000</v>
      </c>
      <c r="S169" s="13">
        <f t="shared" si="31"/>
        <v>19562000</v>
      </c>
      <c r="T169" s="13">
        <f t="shared" si="35"/>
        <v>20219000</v>
      </c>
      <c r="U169" s="13">
        <f t="shared" si="32"/>
        <v>21008000</v>
      </c>
      <c r="V169" s="13">
        <f t="shared" si="33"/>
        <v>21422000</v>
      </c>
      <c r="W169" s="13">
        <f t="shared" si="34"/>
        <v>22422000</v>
      </c>
    </row>
    <row r="170" spans="2:23" ht="30" customHeight="1" x14ac:dyDescent="0.2">
      <c r="B170" s="9">
        <f t="shared" si="40"/>
        <v>74</v>
      </c>
      <c r="C170" s="19" t="s">
        <v>263</v>
      </c>
      <c r="D170" s="19" t="s">
        <v>264</v>
      </c>
      <c r="E170" s="57"/>
      <c r="F170" s="11">
        <v>1</v>
      </c>
      <c r="G170" s="12">
        <v>20000</v>
      </c>
      <c r="H170" s="13">
        <f>F170*$H$8+26</f>
        <v>21000</v>
      </c>
      <c r="I170" s="13">
        <f>F170*$I$8-54</f>
        <v>22000</v>
      </c>
      <c r="J170" s="13">
        <f>$F170*$J$8+237</f>
        <v>24000</v>
      </c>
      <c r="K170" s="13">
        <f>$F170*$K$8+445</f>
        <v>25000</v>
      </c>
      <c r="L170" s="13">
        <f>$F170*$L$8-132</f>
        <v>25000</v>
      </c>
      <c r="M170" s="13">
        <f t="shared" si="27"/>
        <v>26529</v>
      </c>
      <c r="N170" s="13">
        <f t="shared" si="37"/>
        <v>27000</v>
      </c>
      <c r="O170" s="13">
        <f t="shared" si="36"/>
        <v>27000</v>
      </c>
      <c r="P170" s="13">
        <f t="shared" si="28"/>
        <v>28000</v>
      </c>
      <c r="Q170" s="13">
        <f t="shared" si="29"/>
        <v>30000</v>
      </c>
      <c r="R170" s="13">
        <f t="shared" si="30"/>
        <v>32000</v>
      </c>
      <c r="S170" s="13">
        <f t="shared" si="31"/>
        <v>33000</v>
      </c>
      <c r="T170" s="13">
        <f t="shared" si="35"/>
        <v>34000</v>
      </c>
      <c r="U170" s="13">
        <f t="shared" si="32"/>
        <v>36000</v>
      </c>
      <c r="V170" s="13">
        <f t="shared" si="33"/>
        <v>36000</v>
      </c>
      <c r="W170" s="13">
        <f t="shared" si="34"/>
        <v>38000</v>
      </c>
    </row>
    <row r="171" spans="2:23" ht="30" customHeight="1" x14ac:dyDescent="0.2">
      <c r="B171" s="9">
        <f t="shared" si="40"/>
        <v>75</v>
      </c>
      <c r="C171" s="19" t="s">
        <v>265</v>
      </c>
      <c r="D171" s="19"/>
      <c r="E171" s="57"/>
      <c r="F171" s="11"/>
      <c r="G171" s="9"/>
      <c r="H171" s="9"/>
      <c r="I171" s="9"/>
      <c r="J171" s="9"/>
      <c r="K171" s="9"/>
      <c r="L171" s="13" t="s">
        <v>0</v>
      </c>
      <c r="M171" s="13">
        <f t="shared" si="27"/>
        <v>480</v>
      </c>
      <c r="N171" s="13">
        <f t="shared" si="37"/>
        <v>0</v>
      </c>
      <c r="O171" s="13">
        <f t="shared" si="36"/>
        <v>0</v>
      </c>
      <c r="P171" s="13">
        <f t="shared" si="28"/>
        <v>0</v>
      </c>
      <c r="Q171" s="13" t="s">
        <v>0</v>
      </c>
      <c r="R171" s="13">
        <f t="shared" si="30"/>
        <v>0</v>
      </c>
      <c r="S171" s="13">
        <f t="shared" si="31"/>
        <v>0</v>
      </c>
      <c r="T171" s="13">
        <f t="shared" si="35"/>
        <v>0</v>
      </c>
      <c r="U171" s="13">
        <f t="shared" si="32"/>
        <v>0</v>
      </c>
      <c r="V171" s="13">
        <f t="shared" si="33"/>
        <v>0</v>
      </c>
      <c r="W171" s="13">
        <f t="shared" si="34"/>
        <v>0</v>
      </c>
    </row>
    <row r="172" spans="2:23" ht="30" customHeight="1" x14ac:dyDescent="0.2">
      <c r="B172" s="9"/>
      <c r="C172" s="19" t="s">
        <v>221</v>
      </c>
      <c r="D172" s="19" t="s">
        <v>266</v>
      </c>
      <c r="E172" s="57"/>
      <c r="F172" s="11">
        <v>1</v>
      </c>
      <c r="G172" s="12">
        <v>20000</v>
      </c>
      <c r="H172" s="13">
        <f>F172*$H$8+26</f>
        <v>21000</v>
      </c>
      <c r="I172" s="13">
        <f>F172*$I$8-54</f>
        <v>22000</v>
      </c>
      <c r="J172" s="13">
        <f>$F172*$J$8+237</f>
        <v>24000</v>
      </c>
      <c r="K172" s="13">
        <f>$F172*$K$8+445</f>
        <v>25000</v>
      </c>
      <c r="L172" s="13">
        <f>$F172*$L$8-132</f>
        <v>25000</v>
      </c>
      <c r="M172" s="13">
        <f t="shared" si="27"/>
        <v>26529</v>
      </c>
      <c r="N172" s="13">
        <f t="shared" si="37"/>
        <v>27000</v>
      </c>
      <c r="O172" s="13">
        <f t="shared" si="36"/>
        <v>27000</v>
      </c>
      <c r="P172" s="13">
        <f t="shared" si="28"/>
        <v>28000</v>
      </c>
      <c r="Q172" s="13">
        <f t="shared" si="29"/>
        <v>30000</v>
      </c>
      <c r="R172" s="13">
        <f t="shared" si="30"/>
        <v>32000</v>
      </c>
      <c r="S172" s="13">
        <f t="shared" si="31"/>
        <v>33000</v>
      </c>
      <c r="T172" s="13">
        <f t="shared" si="35"/>
        <v>34000</v>
      </c>
      <c r="U172" s="13">
        <f t="shared" si="32"/>
        <v>36000</v>
      </c>
      <c r="V172" s="13">
        <f t="shared" si="33"/>
        <v>36000</v>
      </c>
      <c r="W172" s="13">
        <f t="shared" si="34"/>
        <v>38000</v>
      </c>
    </row>
    <row r="173" spans="2:23" ht="30" customHeight="1" x14ac:dyDescent="0.2">
      <c r="B173" s="9"/>
      <c r="C173" s="19" t="s">
        <v>267</v>
      </c>
      <c r="D173" s="19" t="s">
        <v>266</v>
      </c>
      <c r="E173" s="57"/>
      <c r="F173" s="11">
        <v>2</v>
      </c>
      <c r="G173" s="12">
        <v>40000</v>
      </c>
      <c r="H173" s="13">
        <f>F173*$H$8+52</f>
        <v>42000</v>
      </c>
      <c r="I173" s="13">
        <f>F173*$I$8-108</f>
        <v>44000</v>
      </c>
      <c r="J173" s="13">
        <f>$F173*$J$8+474</f>
        <v>48000</v>
      </c>
      <c r="K173" s="13">
        <f>$F173*$K$8-110</f>
        <v>49000</v>
      </c>
      <c r="L173" s="13">
        <f>$F173*$L$8-264</f>
        <v>50000</v>
      </c>
      <c r="M173" s="13">
        <f t="shared" si="27"/>
        <v>52578</v>
      </c>
      <c r="N173" s="13">
        <f t="shared" si="37"/>
        <v>54000</v>
      </c>
      <c r="O173" s="13">
        <f t="shared" si="36"/>
        <v>55000</v>
      </c>
      <c r="P173" s="13">
        <f t="shared" si="28"/>
        <v>57000</v>
      </c>
      <c r="Q173" s="13">
        <f t="shared" si="29"/>
        <v>60000</v>
      </c>
      <c r="R173" s="13">
        <f t="shared" si="30"/>
        <v>64000</v>
      </c>
      <c r="S173" s="13">
        <f t="shared" si="31"/>
        <v>66000</v>
      </c>
      <c r="T173" s="13">
        <f t="shared" si="35"/>
        <v>69000</v>
      </c>
      <c r="U173" s="13">
        <f t="shared" si="32"/>
        <v>71000</v>
      </c>
      <c r="V173" s="13">
        <f t="shared" si="33"/>
        <v>73000</v>
      </c>
      <c r="W173" s="13">
        <f t="shared" si="34"/>
        <v>76000</v>
      </c>
    </row>
    <row r="174" spans="2:23" ht="30" customHeight="1" x14ac:dyDescent="0.2">
      <c r="B174" s="9"/>
      <c r="C174" s="19" t="s">
        <v>194</v>
      </c>
      <c r="D174" s="19" t="s">
        <v>266</v>
      </c>
      <c r="E174" s="57"/>
      <c r="F174" s="11">
        <v>3</v>
      </c>
      <c r="G174" s="12">
        <v>60000</v>
      </c>
      <c r="H174" s="13">
        <f>F174*$H$8+78</f>
        <v>63000</v>
      </c>
      <c r="I174" s="13">
        <f>F174*$I$8-162</f>
        <v>66000</v>
      </c>
      <c r="J174" s="13">
        <f>$F174*$J$8-289</f>
        <v>71000</v>
      </c>
      <c r="K174" s="13">
        <f>$F174*$K$8+335</f>
        <v>74000</v>
      </c>
      <c r="L174" s="13">
        <f>$F174*$L$8-396</f>
        <v>75000</v>
      </c>
      <c r="M174" s="13">
        <f t="shared" si="27"/>
        <v>78627</v>
      </c>
      <c r="N174" s="13">
        <f t="shared" si="37"/>
        <v>81000</v>
      </c>
      <c r="O174" s="13">
        <f t="shared" si="36"/>
        <v>82000</v>
      </c>
      <c r="P174" s="13">
        <f t="shared" si="28"/>
        <v>85000</v>
      </c>
      <c r="Q174" s="13">
        <f t="shared" si="29"/>
        <v>89000</v>
      </c>
      <c r="R174" s="13">
        <f t="shared" si="30"/>
        <v>96000</v>
      </c>
      <c r="S174" s="13">
        <f t="shared" si="31"/>
        <v>99000</v>
      </c>
      <c r="T174" s="13">
        <f t="shared" si="35"/>
        <v>103000</v>
      </c>
      <c r="U174" s="13">
        <f t="shared" si="32"/>
        <v>107000</v>
      </c>
      <c r="V174" s="13">
        <f t="shared" si="33"/>
        <v>109000</v>
      </c>
      <c r="W174" s="13">
        <f t="shared" si="34"/>
        <v>114000</v>
      </c>
    </row>
    <row r="175" spans="2:23" ht="30" customHeight="1" x14ac:dyDescent="0.2">
      <c r="B175" s="9">
        <f>B171+1</f>
        <v>76</v>
      </c>
      <c r="C175" s="19" t="s">
        <v>268</v>
      </c>
      <c r="D175" s="19" t="s">
        <v>269</v>
      </c>
      <c r="E175" s="57"/>
      <c r="F175" s="11">
        <v>20</v>
      </c>
      <c r="G175" s="12">
        <v>401000</v>
      </c>
      <c r="H175" s="13">
        <f>F175*$H$8-480</f>
        <v>419000</v>
      </c>
      <c r="I175" s="13">
        <f>F175*$I$8-80</f>
        <v>441000</v>
      </c>
      <c r="J175" s="13">
        <f>$F175*$J$8-260</f>
        <v>475000</v>
      </c>
      <c r="K175" s="13">
        <f>$F175*$K$8-100</f>
        <v>491000</v>
      </c>
      <c r="L175" s="13">
        <f>$F175*$L$8+360</f>
        <v>503000</v>
      </c>
      <c r="M175" s="13">
        <f t="shared" si="27"/>
        <v>521460</v>
      </c>
      <c r="N175" s="13">
        <f t="shared" si="37"/>
        <v>537000</v>
      </c>
      <c r="O175" s="13">
        <f t="shared" si="36"/>
        <v>550000</v>
      </c>
      <c r="P175" s="13">
        <f t="shared" si="28"/>
        <v>566000</v>
      </c>
      <c r="Q175" s="13">
        <f t="shared" si="29"/>
        <v>595000</v>
      </c>
      <c r="R175" s="13">
        <f t="shared" si="30"/>
        <v>637000</v>
      </c>
      <c r="S175" s="13">
        <f t="shared" si="31"/>
        <v>663000</v>
      </c>
      <c r="T175" s="13">
        <f t="shared" si="35"/>
        <v>685000</v>
      </c>
      <c r="U175" s="13">
        <f t="shared" si="32"/>
        <v>712000</v>
      </c>
      <c r="V175" s="13">
        <f t="shared" si="33"/>
        <v>726000</v>
      </c>
      <c r="W175" s="13">
        <f t="shared" si="34"/>
        <v>760000</v>
      </c>
    </row>
    <row r="176" spans="2:23" ht="30" customHeight="1" x14ac:dyDescent="0.2">
      <c r="B176" s="9">
        <f>B175+1</f>
        <v>77</v>
      </c>
      <c r="C176" s="19" t="s">
        <v>270</v>
      </c>
      <c r="D176" s="19" t="s">
        <v>271</v>
      </c>
      <c r="E176" s="57"/>
      <c r="F176" s="14">
        <v>3000</v>
      </c>
      <c r="G176" s="12">
        <v>59328000</v>
      </c>
      <c r="H176" s="13">
        <f>F176*$H$8</f>
        <v>62922000</v>
      </c>
      <c r="I176" s="13">
        <f>F176*$I$8</f>
        <v>66162000</v>
      </c>
      <c r="J176" s="13">
        <f>$F176*$J$8</f>
        <v>71289000</v>
      </c>
      <c r="K176" s="13">
        <f>$F176*$K$8</f>
        <v>73665000</v>
      </c>
      <c r="L176" s="13">
        <f>$F176*$L$8</f>
        <v>75396000</v>
      </c>
      <c r="M176" s="13">
        <f t="shared" si="27"/>
        <v>78147480</v>
      </c>
      <c r="N176" s="13">
        <f t="shared" si="37"/>
        <v>80523000</v>
      </c>
      <c r="O176" s="13">
        <f t="shared" si="36"/>
        <v>82455000</v>
      </c>
      <c r="P176" s="13">
        <f t="shared" si="28"/>
        <v>84837000</v>
      </c>
      <c r="Q176" s="13">
        <f t="shared" si="29"/>
        <v>89259000</v>
      </c>
      <c r="R176" s="13">
        <f t="shared" si="30"/>
        <v>95577000</v>
      </c>
      <c r="S176" s="13">
        <f t="shared" si="31"/>
        <v>99468000</v>
      </c>
      <c r="T176" s="13">
        <f t="shared" si="35"/>
        <v>102810000</v>
      </c>
      <c r="U176" s="13">
        <f t="shared" si="32"/>
        <v>106821000</v>
      </c>
      <c r="V176" s="13">
        <f t="shared" si="33"/>
        <v>108924000</v>
      </c>
      <c r="W176" s="13">
        <f t="shared" si="34"/>
        <v>114012000</v>
      </c>
    </row>
    <row r="177" spans="2:23" ht="30" customHeight="1" x14ac:dyDescent="0.2">
      <c r="B177" s="9">
        <f>B176+1</f>
        <v>78</v>
      </c>
      <c r="C177" s="19" t="s">
        <v>272</v>
      </c>
      <c r="D177" s="19" t="s">
        <v>273</v>
      </c>
      <c r="E177" s="57"/>
      <c r="F177" s="11">
        <v>58</v>
      </c>
      <c r="G177" s="12">
        <v>1155000</v>
      </c>
      <c r="H177" s="13">
        <f>F177*$H$8-492</f>
        <v>1216000</v>
      </c>
      <c r="I177" s="13">
        <f>F177*$I$8-132</f>
        <v>1279000</v>
      </c>
      <c r="J177" s="13">
        <f>$F177*$J$8-254</f>
        <v>1378000</v>
      </c>
      <c r="K177" s="13">
        <f>$F177*$K$8-190</f>
        <v>1424000</v>
      </c>
      <c r="L177" s="13">
        <f>$F177*$L$8+344</f>
        <v>1458000</v>
      </c>
      <c r="M177" s="13">
        <f t="shared" si="27"/>
        <v>1511322</v>
      </c>
      <c r="N177" s="13">
        <f t="shared" si="37"/>
        <v>1557000</v>
      </c>
      <c r="O177" s="13">
        <f t="shared" si="36"/>
        <v>1594000</v>
      </c>
      <c r="P177" s="13">
        <f t="shared" si="28"/>
        <v>1640000</v>
      </c>
      <c r="Q177" s="13">
        <f t="shared" si="29"/>
        <v>1726000</v>
      </c>
      <c r="R177" s="13">
        <f t="shared" si="30"/>
        <v>1848000</v>
      </c>
      <c r="S177" s="13">
        <f t="shared" si="31"/>
        <v>1923000</v>
      </c>
      <c r="T177" s="13">
        <f t="shared" si="35"/>
        <v>1988000</v>
      </c>
      <c r="U177" s="13">
        <f t="shared" si="32"/>
        <v>2065000</v>
      </c>
      <c r="V177" s="13">
        <f t="shared" si="33"/>
        <v>2106000</v>
      </c>
      <c r="W177" s="13">
        <f t="shared" si="34"/>
        <v>2204000</v>
      </c>
    </row>
    <row r="178" spans="2:23" ht="30" customHeight="1" x14ac:dyDescent="0.2">
      <c r="B178" s="9">
        <f>B177+1</f>
        <v>79</v>
      </c>
      <c r="C178" s="19" t="s">
        <v>274</v>
      </c>
      <c r="D178" s="19" t="s">
        <v>275</v>
      </c>
      <c r="E178" s="57"/>
      <c r="F178" s="11">
        <v>700</v>
      </c>
      <c r="G178" s="12">
        <v>14050000</v>
      </c>
      <c r="H178" s="13">
        <f>F178*$H$8+200</f>
        <v>14682000</v>
      </c>
      <c r="I178" s="13">
        <f>F178*$I$8+200</f>
        <v>15438000</v>
      </c>
      <c r="J178" s="13">
        <f>$F178*$J$8-100</f>
        <v>16634000</v>
      </c>
      <c r="K178" s="13">
        <f>$F178*$K$8+500</f>
        <v>17189000</v>
      </c>
      <c r="L178" s="13">
        <f>$F178*$L$8-400</f>
        <v>17592000</v>
      </c>
      <c r="M178" s="13">
        <f t="shared" si="27"/>
        <v>18234780</v>
      </c>
      <c r="N178" s="13">
        <f t="shared" si="37"/>
        <v>18789000</v>
      </c>
      <c r="O178" s="13">
        <f t="shared" si="36"/>
        <v>19240000</v>
      </c>
      <c r="P178" s="13">
        <f t="shared" si="28"/>
        <v>19795000</v>
      </c>
      <c r="Q178" s="13">
        <f t="shared" si="29"/>
        <v>20827000</v>
      </c>
      <c r="R178" s="13">
        <f t="shared" si="30"/>
        <v>22301000</v>
      </c>
      <c r="S178" s="13">
        <f t="shared" si="31"/>
        <v>23209000</v>
      </c>
      <c r="T178" s="13">
        <f t="shared" si="35"/>
        <v>23989000</v>
      </c>
      <c r="U178" s="13">
        <f t="shared" si="32"/>
        <v>24925000</v>
      </c>
      <c r="V178" s="13">
        <f t="shared" si="33"/>
        <v>25416000</v>
      </c>
      <c r="W178" s="13">
        <f t="shared" si="34"/>
        <v>26603000</v>
      </c>
    </row>
    <row r="179" spans="2:23" ht="30" customHeight="1" x14ac:dyDescent="0.2">
      <c r="B179" s="9">
        <f>B178+1</f>
        <v>80</v>
      </c>
      <c r="C179" s="19" t="s">
        <v>276</v>
      </c>
      <c r="D179" s="19" t="s">
        <v>277</v>
      </c>
      <c r="E179" s="57"/>
      <c r="F179" s="14">
        <v>1000</v>
      </c>
      <c r="G179" s="12">
        <v>20072000</v>
      </c>
      <c r="H179" s="13">
        <f>F179*$H$8</f>
        <v>20974000</v>
      </c>
      <c r="I179" s="13">
        <f>F179*$I$8</f>
        <v>22054000</v>
      </c>
      <c r="J179" s="13">
        <f>$F179*$J$8</f>
        <v>23763000</v>
      </c>
      <c r="K179" s="13">
        <f>$F179*$K$8</f>
        <v>24555000</v>
      </c>
      <c r="L179" s="13">
        <f>$F179*$L$8</f>
        <v>25132000</v>
      </c>
      <c r="M179" s="13">
        <f t="shared" si="27"/>
        <v>26049480</v>
      </c>
      <c r="N179" s="13">
        <f t="shared" si="37"/>
        <v>26841000</v>
      </c>
      <c r="O179" s="13">
        <f t="shared" si="36"/>
        <v>27485000</v>
      </c>
      <c r="P179" s="13">
        <f t="shared" si="28"/>
        <v>28279000</v>
      </c>
      <c r="Q179" s="13">
        <f t="shared" si="29"/>
        <v>29753000</v>
      </c>
      <c r="R179" s="13">
        <f t="shared" si="30"/>
        <v>31859000</v>
      </c>
      <c r="S179" s="13">
        <f t="shared" si="31"/>
        <v>33156000</v>
      </c>
      <c r="T179" s="13">
        <f t="shared" si="35"/>
        <v>34270000</v>
      </c>
      <c r="U179" s="13">
        <f t="shared" si="32"/>
        <v>35607000</v>
      </c>
      <c r="V179" s="13">
        <f t="shared" si="33"/>
        <v>36308000</v>
      </c>
      <c r="W179" s="13">
        <f t="shared" si="34"/>
        <v>38004000</v>
      </c>
    </row>
    <row r="180" spans="2:23" ht="30" customHeight="1" x14ac:dyDescent="0.2">
      <c r="B180" s="9"/>
      <c r="C180" s="19" t="s">
        <v>278</v>
      </c>
      <c r="D180" s="19"/>
      <c r="E180" s="57"/>
      <c r="F180" s="11"/>
      <c r="G180" s="9"/>
      <c r="H180" s="9"/>
      <c r="I180" s="9"/>
      <c r="J180" s="9"/>
      <c r="K180" s="9"/>
      <c r="L180" s="13" t="s">
        <v>0</v>
      </c>
      <c r="M180" s="13">
        <f t="shared" si="27"/>
        <v>480</v>
      </c>
      <c r="N180" s="13">
        <f t="shared" si="37"/>
        <v>0</v>
      </c>
      <c r="O180" s="13">
        <f t="shared" si="36"/>
        <v>0</v>
      </c>
      <c r="P180" s="13">
        <f t="shared" si="28"/>
        <v>0</v>
      </c>
      <c r="Q180" s="13"/>
      <c r="R180" s="13">
        <f t="shared" si="30"/>
        <v>0</v>
      </c>
      <c r="S180" s="13">
        <f t="shared" si="31"/>
        <v>0</v>
      </c>
      <c r="T180" s="13">
        <f t="shared" si="35"/>
        <v>0</v>
      </c>
      <c r="U180" s="13">
        <f t="shared" si="32"/>
        <v>0</v>
      </c>
      <c r="V180" s="13">
        <f t="shared" si="33"/>
        <v>0</v>
      </c>
      <c r="W180" s="13">
        <f t="shared" si="34"/>
        <v>0</v>
      </c>
    </row>
    <row r="181" spans="2:23" ht="30" customHeight="1" x14ac:dyDescent="0.2">
      <c r="B181" s="9">
        <f>B179+1</f>
        <v>81</v>
      </c>
      <c r="C181" s="19" t="s">
        <v>279</v>
      </c>
      <c r="D181" s="19" t="s">
        <v>280</v>
      </c>
      <c r="E181" s="57"/>
      <c r="F181" s="11">
        <v>1.4999999999999999E-2</v>
      </c>
      <c r="G181" s="9">
        <v>300</v>
      </c>
      <c r="H181" s="13">
        <f>F181*$H$8-15</f>
        <v>299.61</v>
      </c>
      <c r="I181" s="13">
        <f>F181*$I$8-31</f>
        <v>299.81</v>
      </c>
      <c r="J181" s="13">
        <f>$F181*$J$8+44</f>
        <v>400.44499999999999</v>
      </c>
      <c r="K181" s="13">
        <f>$F181*$K$8+32</f>
        <v>400.32499999999999</v>
      </c>
      <c r="L181" s="13">
        <f>$F181*$L$8+23</f>
        <v>399.97999999999996</v>
      </c>
      <c r="M181" s="13">
        <f t="shared" si="27"/>
        <v>870.73500000000001</v>
      </c>
      <c r="N181" s="13">
        <f t="shared" si="37"/>
        <v>0</v>
      </c>
      <c r="O181" s="13">
        <f t="shared" si="36"/>
        <v>0</v>
      </c>
      <c r="P181" s="13">
        <f t="shared" si="28"/>
        <v>0</v>
      </c>
      <c r="Q181" s="13"/>
      <c r="R181" s="13">
        <f t="shared" si="30"/>
        <v>0</v>
      </c>
      <c r="S181" s="13">
        <f t="shared" si="31"/>
        <v>0</v>
      </c>
      <c r="T181" s="13">
        <f t="shared" si="35"/>
        <v>1000</v>
      </c>
      <c r="U181" s="13">
        <f t="shared" si="32"/>
        <v>1000</v>
      </c>
      <c r="V181" s="13">
        <f t="shared" si="33"/>
        <v>1000</v>
      </c>
      <c r="W181" s="13">
        <f t="shared" si="34"/>
        <v>1000</v>
      </c>
    </row>
    <row r="182" spans="2:23" ht="30" customHeight="1" x14ac:dyDescent="0.2">
      <c r="B182" s="9"/>
      <c r="C182" s="19" t="s">
        <v>281</v>
      </c>
      <c r="D182" s="19" t="s">
        <v>282</v>
      </c>
      <c r="E182" s="57"/>
      <c r="F182" s="11">
        <v>5.5E-2</v>
      </c>
      <c r="G182" s="12">
        <v>1100</v>
      </c>
      <c r="H182" s="13">
        <f>F182*$H$8+46</f>
        <v>1199.57</v>
      </c>
      <c r="I182" s="13">
        <f>F182*$I$8-13</f>
        <v>1199.97</v>
      </c>
      <c r="J182" s="13">
        <f>$F182*$J$8-7</f>
        <v>1299.9649999999999</v>
      </c>
      <c r="K182" s="13">
        <f>$F182*$K$8-51</f>
        <v>1299.5250000000001</v>
      </c>
      <c r="L182" s="13">
        <f>$F182*$L$8-82</f>
        <v>1300.26</v>
      </c>
      <c r="M182" s="13">
        <f t="shared" si="27"/>
        <v>1912.6949999999999</v>
      </c>
      <c r="N182" s="13">
        <f t="shared" si="37"/>
        <v>1000</v>
      </c>
      <c r="O182" s="13">
        <f t="shared" si="36"/>
        <v>2000</v>
      </c>
      <c r="P182" s="13">
        <f t="shared" si="28"/>
        <v>2000</v>
      </c>
      <c r="Q182" s="13">
        <f t="shared" si="29"/>
        <v>2000</v>
      </c>
      <c r="R182" s="13">
        <f t="shared" si="30"/>
        <v>2000</v>
      </c>
      <c r="S182" s="13">
        <f t="shared" si="31"/>
        <v>2000</v>
      </c>
      <c r="T182" s="13">
        <f t="shared" si="35"/>
        <v>2000</v>
      </c>
      <c r="U182" s="13">
        <f t="shared" si="32"/>
        <v>2000</v>
      </c>
      <c r="V182" s="13">
        <f t="shared" si="33"/>
        <v>2000</v>
      </c>
      <c r="W182" s="13">
        <f t="shared" si="34"/>
        <v>2000</v>
      </c>
    </row>
    <row r="183" spans="2:23" ht="30" customHeight="1" x14ac:dyDescent="0.2">
      <c r="B183" s="9"/>
      <c r="C183" s="19" t="s">
        <v>283</v>
      </c>
      <c r="D183" s="19"/>
      <c r="E183" s="57"/>
      <c r="F183" s="11"/>
      <c r="G183" s="9"/>
      <c r="H183" s="9"/>
      <c r="I183" s="9"/>
      <c r="J183" s="9"/>
      <c r="K183" s="9"/>
      <c r="L183" s="13" t="s">
        <v>0</v>
      </c>
      <c r="M183" s="13">
        <f t="shared" si="27"/>
        <v>480</v>
      </c>
      <c r="N183" s="13">
        <f t="shared" si="37"/>
        <v>0</v>
      </c>
      <c r="O183" s="13">
        <f t="shared" si="36"/>
        <v>0</v>
      </c>
      <c r="P183" s="13">
        <f t="shared" si="28"/>
        <v>0</v>
      </c>
      <c r="Q183" s="13" t="s">
        <v>0</v>
      </c>
      <c r="R183" s="13">
        <f t="shared" si="30"/>
        <v>0</v>
      </c>
      <c r="S183" s="13">
        <f t="shared" si="31"/>
        <v>0</v>
      </c>
      <c r="T183" s="13">
        <f t="shared" si="35"/>
        <v>0</v>
      </c>
      <c r="U183" s="13">
        <f t="shared" si="32"/>
        <v>0</v>
      </c>
      <c r="V183" s="13">
        <f t="shared" si="33"/>
        <v>0</v>
      </c>
      <c r="W183" s="13">
        <f t="shared" si="34"/>
        <v>0</v>
      </c>
    </row>
    <row r="184" spans="2:23" ht="30" customHeight="1" x14ac:dyDescent="0.2">
      <c r="B184" s="9">
        <f>B181+1</f>
        <v>82</v>
      </c>
      <c r="C184" s="19" t="s">
        <v>284</v>
      </c>
      <c r="D184" s="19" t="s">
        <v>285</v>
      </c>
      <c r="E184" s="57"/>
      <c r="F184" s="11">
        <v>3.5000000000000003E-2</v>
      </c>
      <c r="G184" s="9">
        <v>700</v>
      </c>
      <c r="H184" s="13">
        <f>F184*$H$8-34</f>
        <v>700.09</v>
      </c>
      <c r="I184" s="13">
        <f>F184*$I$8+28</f>
        <v>799.8900000000001</v>
      </c>
      <c r="J184" s="13">
        <f>$F184*$J$8-32</f>
        <v>799.70500000000004</v>
      </c>
      <c r="K184" s="13">
        <f>$F184*$K$8+41</f>
        <v>900.42500000000007</v>
      </c>
      <c r="L184" s="13">
        <f>$F184*$L$8+20</f>
        <v>899.62000000000012</v>
      </c>
      <c r="M184" s="13">
        <f t="shared" si="27"/>
        <v>1391.7150000000001</v>
      </c>
      <c r="N184" s="13">
        <f t="shared" si="37"/>
        <v>1000</v>
      </c>
      <c r="O184" s="13">
        <f t="shared" si="36"/>
        <v>1000</v>
      </c>
      <c r="P184" s="13">
        <f t="shared" si="28"/>
        <v>1000</v>
      </c>
      <c r="Q184" s="13">
        <f t="shared" si="29"/>
        <v>1000</v>
      </c>
      <c r="R184" s="13">
        <f t="shared" si="30"/>
        <v>1000</v>
      </c>
      <c r="S184" s="13">
        <f t="shared" si="31"/>
        <v>1000</v>
      </c>
      <c r="T184" s="13">
        <f t="shared" si="35"/>
        <v>1000</v>
      </c>
      <c r="U184" s="13">
        <f t="shared" si="32"/>
        <v>1000</v>
      </c>
      <c r="V184" s="13">
        <f t="shared" si="33"/>
        <v>1000</v>
      </c>
      <c r="W184" s="13">
        <f t="shared" si="34"/>
        <v>1000</v>
      </c>
    </row>
    <row r="185" spans="2:23" ht="30" customHeight="1" x14ac:dyDescent="0.2">
      <c r="B185" s="9">
        <f t="shared" ref="B185:B192" si="41">B184+1</f>
        <v>83</v>
      </c>
      <c r="C185" s="19" t="s">
        <v>286</v>
      </c>
      <c r="D185" s="19" t="s">
        <v>287</v>
      </c>
      <c r="E185" s="57"/>
      <c r="F185" s="11">
        <v>4</v>
      </c>
      <c r="G185" s="12">
        <v>78000</v>
      </c>
      <c r="H185" s="13">
        <f>F185*$H$8+104</f>
        <v>84000</v>
      </c>
      <c r="I185" s="13">
        <f>F185*$I$8-216</f>
        <v>88000</v>
      </c>
      <c r="J185" s="13">
        <f>$F185*$J$8-52</f>
        <v>95000</v>
      </c>
      <c r="K185" s="13">
        <f>$F185*$K$8-220</f>
        <v>98000</v>
      </c>
      <c r="L185" s="13">
        <f>$F185*$L$8+472</f>
        <v>101000</v>
      </c>
      <c r="M185" s="13">
        <f t="shared" si="27"/>
        <v>104676</v>
      </c>
      <c r="N185" s="13">
        <f t="shared" si="37"/>
        <v>107000</v>
      </c>
      <c r="O185" s="13">
        <f t="shared" si="36"/>
        <v>110000</v>
      </c>
      <c r="P185" s="13">
        <f t="shared" si="28"/>
        <v>113000</v>
      </c>
      <c r="Q185" s="13">
        <f t="shared" si="29"/>
        <v>119000</v>
      </c>
      <c r="R185" s="13">
        <f t="shared" si="30"/>
        <v>127000</v>
      </c>
      <c r="S185" s="13">
        <f t="shared" si="31"/>
        <v>133000</v>
      </c>
      <c r="T185" s="13">
        <f t="shared" si="35"/>
        <v>137000</v>
      </c>
      <c r="U185" s="13">
        <f t="shared" si="32"/>
        <v>142000</v>
      </c>
      <c r="V185" s="13">
        <f t="shared" si="33"/>
        <v>145000</v>
      </c>
      <c r="W185" s="13">
        <f t="shared" si="34"/>
        <v>152000</v>
      </c>
    </row>
    <row r="186" spans="2:23" ht="30" customHeight="1" x14ac:dyDescent="0.2">
      <c r="B186" s="9">
        <f t="shared" si="41"/>
        <v>84</v>
      </c>
      <c r="C186" s="19" t="s">
        <v>288</v>
      </c>
      <c r="D186" s="19" t="s">
        <v>289</v>
      </c>
      <c r="E186" s="57"/>
      <c r="F186" s="11">
        <v>27</v>
      </c>
      <c r="G186" s="12">
        <v>545000</v>
      </c>
      <c r="H186" s="13">
        <f>F186*$H$8-298</f>
        <v>566000</v>
      </c>
      <c r="I186" s="13">
        <f>F186*$I$8-458</f>
        <v>595000</v>
      </c>
      <c r="J186" s="13">
        <f>$F186*$J$8+399</f>
        <v>642000</v>
      </c>
      <c r="K186" s="13">
        <f>$F186*$K$8+15</f>
        <v>663000</v>
      </c>
      <c r="L186" s="13">
        <f>$F186*$L$8+436</f>
        <v>679000</v>
      </c>
      <c r="M186" s="13">
        <f t="shared" si="27"/>
        <v>703803</v>
      </c>
      <c r="N186" s="13">
        <f t="shared" si="37"/>
        <v>725000</v>
      </c>
      <c r="O186" s="13">
        <f t="shared" si="36"/>
        <v>742000</v>
      </c>
      <c r="P186" s="13">
        <f t="shared" si="28"/>
        <v>764000</v>
      </c>
      <c r="Q186" s="13">
        <f t="shared" si="29"/>
        <v>803000</v>
      </c>
      <c r="R186" s="13">
        <f t="shared" si="30"/>
        <v>860000</v>
      </c>
      <c r="S186" s="13">
        <f t="shared" si="31"/>
        <v>895000</v>
      </c>
      <c r="T186" s="13">
        <f t="shared" si="35"/>
        <v>925000</v>
      </c>
      <c r="U186" s="13">
        <f t="shared" si="32"/>
        <v>961000</v>
      </c>
      <c r="V186" s="13">
        <f t="shared" si="33"/>
        <v>980000</v>
      </c>
      <c r="W186" s="13">
        <f t="shared" si="34"/>
        <v>1026000</v>
      </c>
    </row>
    <row r="187" spans="2:23" ht="30" customHeight="1" x14ac:dyDescent="0.2">
      <c r="B187" s="9">
        <f t="shared" si="41"/>
        <v>85</v>
      </c>
      <c r="C187" s="19" t="s">
        <v>290</v>
      </c>
      <c r="D187" s="19" t="s">
        <v>291</v>
      </c>
      <c r="E187" s="57"/>
      <c r="F187" s="11">
        <v>8</v>
      </c>
      <c r="G187" s="12">
        <v>162000</v>
      </c>
      <c r="H187" s="13">
        <f>F187*$H$8+208</f>
        <v>168000</v>
      </c>
      <c r="I187" s="13">
        <f>F187*$I$8-432</f>
        <v>176000</v>
      </c>
      <c r="J187" s="13">
        <f>$F187*$J$8-104</f>
        <v>190000</v>
      </c>
      <c r="K187" s="13">
        <f>$F187*$K$8-440</f>
        <v>196000</v>
      </c>
      <c r="L187" s="13">
        <f>$F187*$L$8-56</f>
        <v>201000</v>
      </c>
      <c r="M187" s="13">
        <f t="shared" si="27"/>
        <v>208872</v>
      </c>
      <c r="N187" s="13">
        <f t="shared" si="37"/>
        <v>215000</v>
      </c>
      <c r="O187" s="13">
        <f t="shared" si="36"/>
        <v>220000</v>
      </c>
      <c r="P187" s="13">
        <f t="shared" si="28"/>
        <v>226000</v>
      </c>
      <c r="Q187" s="13">
        <f t="shared" si="29"/>
        <v>238000</v>
      </c>
      <c r="R187" s="13">
        <f t="shared" si="30"/>
        <v>255000</v>
      </c>
      <c r="S187" s="13">
        <f t="shared" si="31"/>
        <v>265000</v>
      </c>
      <c r="T187" s="13">
        <f t="shared" si="35"/>
        <v>274000</v>
      </c>
      <c r="U187" s="13">
        <f t="shared" si="32"/>
        <v>285000</v>
      </c>
      <c r="V187" s="13">
        <f t="shared" si="33"/>
        <v>290000</v>
      </c>
      <c r="W187" s="13">
        <f t="shared" si="34"/>
        <v>304000</v>
      </c>
    </row>
    <row r="188" spans="2:23" ht="30" customHeight="1" x14ac:dyDescent="0.2">
      <c r="B188" s="9">
        <f t="shared" si="41"/>
        <v>86</v>
      </c>
      <c r="C188" s="19" t="s">
        <v>292</v>
      </c>
      <c r="D188" s="19" t="s">
        <v>293</v>
      </c>
      <c r="E188" s="57"/>
      <c r="F188" s="11">
        <v>5.5E-2</v>
      </c>
      <c r="G188" s="12">
        <v>1100</v>
      </c>
      <c r="H188" s="13">
        <f>F188*$H$8+46</f>
        <v>1199.57</v>
      </c>
      <c r="I188" s="13">
        <f>F188*$I$8-13</f>
        <v>1199.97</v>
      </c>
      <c r="J188" s="13">
        <f>$F188*$J$8-7</f>
        <v>1299.9649999999999</v>
      </c>
      <c r="K188" s="13">
        <f>$F188*$K$8+49</f>
        <v>1399.5250000000001</v>
      </c>
      <c r="L188" s="13">
        <f>$F188*$L$8+18</f>
        <v>1400.26</v>
      </c>
      <c r="M188" s="13">
        <f t="shared" si="27"/>
        <v>1912.6949999999999</v>
      </c>
      <c r="N188" s="13">
        <f t="shared" si="37"/>
        <v>1000</v>
      </c>
      <c r="O188" s="13">
        <f t="shared" si="36"/>
        <v>2000</v>
      </c>
      <c r="P188" s="13">
        <f t="shared" si="28"/>
        <v>2000</v>
      </c>
      <c r="Q188" s="13">
        <f t="shared" si="29"/>
        <v>2000</v>
      </c>
      <c r="R188" s="13">
        <f t="shared" si="30"/>
        <v>2000</v>
      </c>
      <c r="S188" s="13">
        <f t="shared" si="31"/>
        <v>2000</v>
      </c>
      <c r="T188" s="13">
        <f t="shared" si="35"/>
        <v>2000</v>
      </c>
      <c r="U188" s="13">
        <f t="shared" si="32"/>
        <v>2000</v>
      </c>
      <c r="V188" s="13">
        <f t="shared" si="33"/>
        <v>2000</v>
      </c>
      <c r="W188" s="13">
        <f t="shared" si="34"/>
        <v>2000</v>
      </c>
    </row>
    <row r="189" spans="2:23" ht="30" customHeight="1" x14ac:dyDescent="0.2">
      <c r="B189" s="9">
        <f t="shared" si="41"/>
        <v>87</v>
      </c>
      <c r="C189" s="19" t="s">
        <v>294</v>
      </c>
      <c r="D189" s="19" t="s">
        <v>295</v>
      </c>
      <c r="E189" s="57"/>
      <c r="F189" s="11">
        <v>50</v>
      </c>
      <c r="G189" s="12">
        <v>1001000</v>
      </c>
      <c r="H189" s="13">
        <f>F189*$H$8+300</f>
        <v>1049000</v>
      </c>
      <c r="I189" s="13">
        <f>F189*$I$8+300</f>
        <v>1103000</v>
      </c>
      <c r="J189" s="13">
        <f>$F189*$J$8-150</f>
        <v>1188000</v>
      </c>
      <c r="K189" s="13">
        <f>$F189*$K$8+250</f>
        <v>1228000</v>
      </c>
      <c r="L189" s="13">
        <f>$F189*$L$8+400</f>
        <v>1257000</v>
      </c>
      <c r="M189" s="13">
        <f t="shared" si="27"/>
        <v>1302930</v>
      </c>
      <c r="N189" s="13">
        <f t="shared" si="37"/>
        <v>1342000</v>
      </c>
      <c r="O189" s="13">
        <f t="shared" si="36"/>
        <v>1374000</v>
      </c>
      <c r="P189" s="13">
        <f t="shared" si="28"/>
        <v>1414000</v>
      </c>
      <c r="Q189" s="13">
        <f t="shared" si="29"/>
        <v>1488000</v>
      </c>
      <c r="R189" s="13">
        <f t="shared" si="30"/>
        <v>1593000</v>
      </c>
      <c r="S189" s="13">
        <f t="shared" si="31"/>
        <v>1658000</v>
      </c>
      <c r="T189" s="13">
        <f t="shared" si="35"/>
        <v>1714000</v>
      </c>
      <c r="U189" s="13">
        <f t="shared" si="32"/>
        <v>1780000</v>
      </c>
      <c r="V189" s="13">
        <f t="shared" si="33"/>
        <v>1815000</v>
      </c>
      <c r="W189" s="13">
        <f t="shared" si="34"/>
        <v>1900000</v>
      </c>
    </row>
    <row r="190" spans="2:23" ht="30" customHeight="1" x14ac:dyDescent="0.2">
      <c r="B190" s="9">
        <f t="shared" si="41"/>
        <v>88</v>
      </c>
      <c r="C190" s="19" t="s">
        <v>296</v>
      </c>
      <c r="D190" s="19" t="s">
        <v>297</v>
      </c>
      <c r="E190" s="57"/>
      <c r="F190" s="11">
        <v>92</v>
      </c>
      <c r="G190" s="12">
        <v>1848000</v>
      </c>
      <c r="H190" s="13">
        <f>F190*$H$8+392</f>
        <v>1930000</v>
      </c>
      <c r="I190" s="13">
        <f>F190*$I$8+32</f>
        <v>2029000</v>
      </c>
      <c r="J190" s="13">
        <f>$F190*$J$8-196</f>
        <v>2186000</v>
      </c>
      <c r="K190" s="13">
        <f>$F190*$K$8-60</f>
        <v>2259000</v>
      </c>
      <c r="L190" s="13">
        <f>$F190*$L$8-144</f>
        <v>2312000</v>
      </c>
      <c r="M190" s="13">
        <f t="shared" si="27"/>
        <v>2396988</v>
      </c>
      <c r="N190" s="13">
        <f t="shared" si="37"/>
        <v>2469000</v>
      </c>
      <c r="O190" s="13">
        <f t="shared" si="36"/>
        <v>2529000</v>
      </c>
      <c r="P190" s="13">
        <f t="shared" si="28"/>
        <v>2602000</v>
      </c>
      <c r="Q190" s="13">
        <f t="shared" si="29"/>
        <v>2737000</v>
      </c>
      <c r="R190" s="13">
        <f t="shared" si="30"/>
        <v>2931000</v>
      </c>
      <c r="S190" s="13">
        <f t="shared" si="31"/>
        <v>3050000</v>
      </c>
      <c r="T190" s="13">
        <f t="shared" si="35"/>
        <v>3153000</v>
      </c>
      <c r="U190" s="13">
        <f t="shared" si="32"/>
        <v>3276000</v>
      </c>
      <c r="V190" s="13">
        <f t="shared" si="33"/>
        <v>3340000</v>
      </c>
      <c r="W190" s="13">
        <f t="shared" si="34"/>
        <v>3496000</v>
      </c>
    </row>
    <row r="191" spans="2:23" ht="30" customHeight="1" x14ac:dyDescent="0.2">
      <c r="B191" s="9">
        <f t="shared" si="41"/>
        <v>89</v>
      </c>
      <c r="C191" s="19" t="s">
        <v>298</v>
      </c>
      <c r="D191" s="19" t="s">
        <v>299</v>
      </c>
      <c r="E191" s="57"/>
      <c r="F191" s="11">
        <v>160</v>
      </c>
      <c r="G191" s="12">
        <v>3128000</v>
      </c>
      <c r="H191" s="13">
        <f>F191*$H$8+160</f>
        <v>3356000</v>
      </c>
      <c r="I191" s="13">
        <f>F191*$I$8+360</f>
        <v>3529000</v>
      </c>
      <c r="J191" s="13">
        <f>$F191*$J$8-80</f>
        <v>3802000</v>
      </c>
      <c r="K191" s="13">
        <f>$F191*$K$8+200</f>
        <v>3929000</v>
      </c>
      <c r="L191" s="13">
        <f>$F191*$L$8-120</f>
        <v>4021000</v>
      </c>
      <c r="M191" s="13">
        <f t="shared" si="27"/>
        <v>4168320</v>
      </c>
      <c r="N191" s="13">
        <f t="shared" si="37"/>
        <v>4295000</v>
      </c>
      <c r="O191" s="13">
        <f t="shared" si="36"/>
        <v>4398000</v>
      </c>
      <c r="P191" s="13">
        <f t="shared" si="28"/>
        <v>4525000</v>
      </c>
      <c r="Q191" s="13">
        <f t="shared" si="29"/>
        <v>4760000</v>
      </c>
      <c r="R191" s="13">
        <f t="shared" si="30"/>
        <v>5097000</v>
      </c>
      <c r="S191" s="13">
        <f t="shared" si="31"/>
        <v>5305000</v>
      </c>
      <c r="T191" s="13">
        <f t="shared" si="35"/>
        <v>5483000</v>
      </c>
      <c r="U191" s="13">
        <f t="shared" si="32"/>
        <v>5697000</v>
      </c>
      <c r="V191" s="13">
        <f t="shared" si="33"/>
        <v>5809000</v>
      </c>
      <c r="W191" s="13">
        <f t="shared" si="34"/>
        <v>6081000</v>
      </c>
    </row>
    <row r="192" spans="2:23" ht="30" customHeight="1" x14ac:dyDescent="0.2">
      <c r="B192" s="9">
        <f t="shared" si="41"/>
        <v>90</v>
      </c>
      <c r="C192" s="19" t="s">
        <v>300</v>
      </c>
      <c r="D192" s="19" t="s">
        <v>0</v>
      </c>
      <c r="E192" s="57"/>
      <c r="F192" s="11"/>
      <c r="G192" s="9"/>
      <c r="H192" s="9"/>
      <c r="I192" s="9"/>
      <c r="J192" s="9"/>
      <c r="K192" s="9"/>
      <c r="L192" s="13" t="s">
        <v>0</v>
      </c>
      <c r="M192" s="13">
        <f t="shared" si="27"/>
        <v>480</v>
      </c>
      <c r="N192" s="13">
        <f t="shared" si="37"/>
        <v>0</v>
      </c>
      <c r="O192" s="13">
        <f t="shared" si="36"/>
        <v>0</v>
      </c>
      <c r="P192" s="13">
        <f t="shared" si="28"/>
        <v>0</v>
      </c>
      <c r="Q192" s="13" t="s">
        <v>0</v>
      </c>
      <c r="R192" s="13">
        <f t="shared" si="30"/>
        <v>0</v>
      </c>
      <c r="S192" s="13">
        <f t="shared" si="31"/>
        <v>0</v>
      </c>
      <c r="T192" s="13">
        <f t="shared" si="35"/>
        <v>0</v>
      </c>
      <c r="U192" s="13">
        <f t="shared" si="32"/>
        <v>0</v>
      </c>
      <c r="V192" s="13">
        <f t="shared" si="33"/>
        <v>0</v>
      </c>
      <c r="W192" s="13">
        <f t="shared" si="34"/>
        <v>0</v>
      </c>
    </row>
    <row r="193" spans="2:23" ht="30" customHeight="1" x14ac:dyDescent="0.2">
      <c r="B193" s="9"/>
      <c r="C193" s="19" t="s">
        <v>301</v>
      </c>
      <c r="D193" s="19" t="s">
        <v>302</v>
      </c>
      <c r="E193" s="57"/>
      <c r="F193" s="11">
        <v>4</v>
      </c>
      <c r="G193" s="12">
        <v>78000</v>
      </c>
      <c r="H193" s="13">
        <f>F193*$H$8+104</f>
        <v>84000</v>
      </c>
      <c r="I193" s="13">
        <f>F193*$I$8-216</f>
        <v>88000</v>
      </c>
      <c r="J193" s="13">
        <f>$F193*$J$8-52</f>
        <v>95000</v>
      </c>
      <c r="K193" s="13">
        <f>$F193*$K$8-220</f>
        <v>98000</v>
      </c>
      <c r="L193" s="13">
        <f>$F193*$L$8+472</f>
        <v>101000</v>
      </c>
      <c r="M193" s="13">
        <f t="shared" si="27"/>
        <v>104676</v>
      </c>
      <c r="N193" s="13">
        <f t="shared" si="37"/>
        <v>107000</v>
      </c>
      <c r="O193" s="13">
        <f t="shared" si="36"/>
        <v>110000</v>
      </c>
      <c r="P193" s="13">
        <f t="shared" si="28"/>
        <v>113000</v>
      </c>
      <c r="Q193" s="13">
        <f t="shared" si="29"/>
        <v>119000</v>
      </c>
      <c r="R193" s="13">
        <f t="shared" si="30"/>
        <v>127000</v>
      </c>
      <c r="S193" s="13">
        <f t="shared" si="31"/>
        <v>133000</v>
      </c>
      <c r="T193" s="13">
        <f t="shared" si="35"/>
        <v>137000</v>
      </c>
      <c r="U193" s="13">
        <f t="shared" si="32"/>
        <v>142000</v>
      </c>
      <c r="V193" s="13">
        <f t="shared" si="33"/>
        <v>145000</v>
      </c>
      <c r="W193" s="13">
        <f t="shared" si="34"/>
        <v>152000</v>
      </c>
    </row>
    <row r="194" spans="2:23" ht="30" customHeight="1" x14ac:dyDescent="0.2">
      <c r="B194" s="9"/>
      <c r="C194" s="19" t="s">
        <v>303</v>
      </c>
      <c r="D194" s="19" t="s">
        <v>304</v>
      </c>
      <c r="E194" s="57"/>
      <c r="F194" s="11">
        <v>27</v>
      </c>
      <c r="G194" s="12">
        <v>547000</v>
      </c>
      <c r="H194" s="13">
        <f>F194*$H$8-298</f>
        <v>566000</v>
      </c>
      <c r="I194" s="13">
        <f>F194*$I$8-458</f>
        <v>595000</v>
      </c>
      <c r="J194" s="13">
        <f>$F194*$J$8+399</f>
        <v>642000</v>
      </c>
      <c r="K194" s="13">
        <f>$F194*$K$8+15</f>
        <v>663000</v>
      </c>
      <c r="L194" s="13">
        <f>$F194*$L$8+436</f>
        <v>679000</v>
      </c>
      <c r="M194" s="13">
        <f t="shared" si="27"/>
        <v>703803</v>
      </c>
      <c r="N194" s="13">
        <f t="shared" si="37"/>
        <v>725000</v>
      </c>
      <c r="O194" s="13">
        <f t="shared" si="36"/>
        <v>742000</v>
      </c>
      <c r="P194" s="13">
        <f t="shared" si="28"/>
        <v>764000</v>
      </c>
      <c r="Q194" s="13">
        <f t="shared" si="29"/>
        <v>803000</v>
      </c>
      <c r="R194" s="13">
        <f t="shared" si="30"/>
        <v>860000</v>
      </c>
      <c r="S194" s="13">
        <f t="shared" si="31"/>
        <v>895000</v>
      </c>
      <c r="T194" s="13">
        <f t="shared" si="35"/>
        <v>925000</v>
      </c>
      <c r="U194" s="13">
        <f t="shared" si="32"/>
        <v>961000</v>
      </c>
      <c r="V194" s="13">
        <f t="shared" si="33"/>
        <v>980000</v>
      </c>
      <c r="W194" s="13">
        <f t="shared" si="34"/>
        <v>1026000</v>
      </c>
    </row>
    <row r="195" spans="2:23" ht="30" customHeight="1" x14ac:dyDescent="0.2">
      <c r="B195" s="9">
        <f>B192+1</f>
        <v>91</v>
      </c>
      <c r="C195" s="19" t="s">
        <v>305</v>
      </c>
      <c r="D195" s="19" t="s">
        <v>306</v>
      </c>
      <c r="E195" s="57"/>
      <c r="F195" s="14">
        <v>11000</v>
      </c>
      <c r="G195" s="12">
        <v>216278000</v>
      </c>
      <c r="H195" s="13">
        <f>F195*$H$8</f>
        <v>230714000</v>
      </c>
      <c r="I195" s="13">
        <f>F195*$I$8</f>
        <v>242594000</v>
      </c>
      <c r="J195" s="13">
        <f>$F195*$J$8</f>
        <v>261393000</v>
      </c>
      <c r="K195" s="13">
        <f>$F195*$K$8</f>
        <v>270105000</v>
      </c>
      <c r="L195" s="13">
        <f>$F195*$L$8</f>
        <v>276452000</v>
      </c>
      <c r="M195" s="13">
        <f t="shared" si="27"/>
        <v>286539480</v>
      </c>
      <c r="N195" s="13">
        <f t="shared" si="37"/>
        <v>295251000</v>
      </c>
      <c r="O195" s="13">
        <f t="shared" si="36"/>
        <v>302335000</v>
      </c>
      <c r="P195" s="13">
        <f t="shared" si="28"/>
        <v>311069000</v>
      </c>
      <c r="Q195" s="13">
        <f t="shared" si="29"/>
        <v>327283000</v>
      </c>
      <c r="R195" s="13">
        <f t="shared" si="30"/>
        <v>350449000</v>
      </c>
      <c r="S195" s="13">
        <f t="shared" si="31"/>
        <v>364716000</v>
      </c>
      <c r="T195" s="13">
        <f t="shared" si="35"/>
        <v>376970000</v>
      </c>
      <c r="U195" s="13">
        <f t="shared" si="32"/>
        <v>391677000</v>
      </c>
      <c r="V195" s="13">
        <f t="shared" si="33"/>
        <v>399388000</v>
      </c>
      <c r="W195" s="13">
        <f t="shared" si="34"/>
        <v>418044000</v>
      </c>
    </row>
    <row r="196" spans="2:23" ht="30" customHeight="1" x14ac:dyDescent="0.2">
      <c r="B196" s="9">
        <f t="shared" ref="B196:B201" si="42">B195+1</f>
        <v>92</v>
      </c>
      <c r="C196" s="19" t="s">
        <v>307</v>
      </c>
      <c r="D196" s="19" t="s">
        <v>308</v>
      </c>
      <c r="E196" s="57"/>
      <c r="F196" s="14">
        <v>3300</v>
      </c>
      <c r="G196" s="12">
        <v>66888000</v>
      </c>
      <c r="H196" s="13">
        <f>F196*$H$8-200</f>
        <v>69214000</v>
      </c>
      <c r="I196" s="13">
        <f>F196*$I$8-200</f>
        <v>72778000</v>
      </c>
      <c r="J196" s="13">
        <f>$F196*$J$8+100</f>
        <v>78418000</v>
      </c>
      <c r="K196" s="13">
        <f>$F196*$K$8+500</f>
        <v>81032000</v>
      </c>
      <c r="L196" s="13">
        <f>$F196*$L$8+400</f>
        <v>82936000</v>
      </c>
      <c r="M196" s="13">
        <f t="shared" si="27"/>
        <v>85962180</v>
      </c>
      <c r="N196" s="13">
        <f t="shared" si="37"/>
        <v>88575000</v>
      </c>
      <c r="O196" s="13">
        <f t="shared" si="36"/>
        <v>90701000</v>
      </c>
      <c r="P196" s="13">
        <f t="shared" si="28"/>
        <v>93321000</v>
      </c>
      <c r="Q196" s="13">
        <f t="shared" si="29"/>
        <v>98185000</v>
      </c>
      <c r="R196" s="13">
        <f t="shared" si="30"/>
        <v>105135000</v>
      </c>
      <c r="S196" s="13">
        <f t="shared" si="31"/>
        <v>109415000</v>
      </c>
      <c r="T196" s="13">
        <f t="shared" si="35"/>
        <v>113091000</v>
      </c>
      <c r="U196" s="13">
        <f t="shared" si="32"/>
        <v>117503000</v>
      </c>
      <c r="V196" s="13">
        <f t="shared" si="33"/>
        <v>119816000</v>
      </c>
      <c r="W196" s="13">
        <f t="shared" si="34"/>
        <v>125413000</v>
      </c>
    </row>
    <row r="197" spans="2:23" ht="30" customHeight="1" x14ac:dyDescent="0.2">
      <c r="B197" s="9">
        <f t="shared" si="42"/>
        <v>93</v>
      </c>
      <c r="C197" s="19" t="s">
        <v>309</v>
      </c>
      <c r="D197" s="19" t="s">
        <v>310</v>
      </c>
      <c r="E197" s="57"/>
      <c r="F197" s="14">
        <v>3300</v>
      </c>
      <c r="G197" s="12">
        <v>66888000</v>
      </c>
      <c r="H197" s="13">
        <f>F197*$H$8-200</f>
        <v>69214000</v>
      </c>
      <c r="I197" s="13">
        <f>F197*$I$8-200</f>
        <v>72778000</v>
      </c>
      <c r="J197" s="13">
        <f>$F197*$J$8+100</f>
        <v>78418000</v>
      </c>
      <c r="K197" s="13">
        <f>$F197*$K$8+500</f>
        <v>81032000</v>
      </c>
      <c r="L197" s="13">
        <f>$F197*$L$8+400</f>
        <v>82936000</v>
      </c>
      <c r="M197" s="13">
        <f t="shared" si="27"/>
        <v>85962180</v>
      </c>
      <c r="N197" s="13">
        <f t="shared" si="37"/>
        <v>88575000</v>
      </c>
      <c r="O197" s="13">
        <f t="shared" si="36"/>
        <v>90701000</v>
      </c>
      <c r="P197" s="13">
        <f t="shared" si="28"/>
        <v>93321000</v>
      </c>
      <c r="Q197" s="13">
        <f t="shared" si="29"/>
        <v>98185000</v>
      </c>
      <c r="R197" s="13">
        <f t="shared" si="30"/>
        <v>105135000</v>
      </c>
      <c r="S197" s="13">
        <f t="shared" si="31"/>
        <v>109415000</v>
      </c>
      <c r="T197" s="13">
        <f t="shared" si="35"/>
        <v>113091000</v>
      </c>
      <c r="U197" s="13">
        <f t="shared" si="32"/>
        <v>117503000</v>
      </c>
      <c r="V197" s="13">
        <f t="shared" si="33"/>
        <v>119816000</v>
      </c>
      <c r="W197" s="13">
        <f t="shared" si="34"/>
        <v>125413000</v>
      </c>
    </row>
    <row r="198" spans="2:23" ht="30" customHeight="1" x14ac:dyDescent="0.2">
      <c r="B198" s="9">
        <f t="shared" si="42"/>
        <v>94</v>
      </c>
      <c r="C198" s="19" t="s">
        <v>311</v>
      </c>
      <c r="D198" s="19" t="s">
        <v>312</v>
      </c>
      <c r="E198" s="57"/>
      <c r="F198" s="14">
        <v>1400</v>
      </c>
      <c r="G198" s="12">
        <v>27870000</v>
      </c>
      <c r="H198" s="13">
        <f>F198*$H$8+400</f>
        <v>29364000</v>
      </c>
      <c r="I198" s="13">
        <f>F198*$I$8+400</f>
        <v>30876000</v>
      </c>
      <c r="J198" s="13">
        <f>$F198*$J$8-200</f>
        <v>33268000</v>
      </c>
      <c r="K198" s="13">
        <f>$F198*$K$8</f>
        <v>34377000</v>
      </c>
      <c r="L198" s="13">
        <f>$F198*$L$8+200</f>
        <v>35185000</v>
      </c>
      <c r="M198" s="13">
        <f t="shared" si="27"/>
        <v>36469080</v>
      </c>
      <c r="N198" s="13">
        <f t="shared" si="37"/>
        <v>37577000</v>
      </c>
      <c r="O198" s="13">
        <f t="shared" si="36"/>
        <v>38479000</v>
      </c>
      <c r="P198" s="13">
        <f t="shared" si="28"/>
        <v>39591000</v>
      </c>
      <c r="Q198" s="13">
        <f t="shared" si="29"/>
        <v>41654000</v>
      </c>
      <c r="R198" s="13">
        <f t="shared" si="30"/>
        <v>44603000</v>
      </c>
      <c r="S198" s="13">
        <f t="shared" si="31"/>
        <v>46418000</v>
      </c>
      <c r="T198" s="13">
        <f t="shared" si="35"/>
        <v>47978000</v>
      </c>
      <c r="U198" s="13">
        <f t="shared" si="32"/>
        <v>49850000</v>
      </c>
      <c r="V198" s="13">
        <f t="shared" si="33"/>
        <v>50831000</v>
      </c>
      <c r="W198" s="13">
        <f t="shared" si="34"/>
        <v>53206000</v>
      </c>
    </row>
    <row r="199" spans="2:23" ht="30" customHeight="1" x14ac:dyDescent="0.2">
      <c r="B199" s="9">
        <f t="shared" si="42"/>
        <v>95</v>
      </c>
      <c r="C199" s="19" t="s">
        <v>313</v>
      </c>
      <c r="D199" s="19" t="s">
        <v>314</v>
      </c>
      <c r="E199" s="57"/>
      <c r="F199" s="14">
        <v>2550000</v>
      </c>
      <c r="G199" s="12">
        <v>50917478000</v>
      </c>
      <c r="H199" s="13">
        <f>F199*$H$8</f>
        <v>53483700000</v>
      </c>
      <c r="I199" s="13">
        <f>F199*$I$8</f>
        <v>56237700000</v>
      </c>
      <c r="J199" s="13">
        <f>$F199*$J$8</f>
        <v>60595650000</v>
      </c>
      <c r="K199" s="13">
        <f>$F199*$K$8</f>
        <v>62615250000</v>
      </c>
      <c r="L199" s="13">
        <f>$F199*$L$8</f>
        <v>64086600000</v>
      </c>
      <c r="M199" s="13">
        <f t="shared" si="27"/>
        <v>66424950480</v>
      </c>
      <c r="N199" s="13">
        <f t="shared" si="37"/>
        <v>68444550000</v>
      </c>
      <c r="O199" s="13">
        <f t="shared" si="36"/>
        <v>70086750000</v>
      </c>
      <c r="P199" s="13">
        <f t="shared" si="28"/>
        <v>72111450000</v>
      </c>
      <c r="Q199" s="13">
        <f t="shared" si="29"/>
        <v>75870150000</v>
      </c>
      <c r="R199" s="13">
        <f t="shared" si="30"/>
        <v>81240450000</v>
      </c>
      <c r="S199" s="13">
        <f t="shared" si="31"/>
        <v>84547800000</v>
      </c>
      <c r="T199" s="13">
        <f t="shared" si="35"/>
        <v>87388500000</v>
      </c>
      <c r="U199" s="13">
        <f t="shared" si="32"/>
        <v>90797850000</v>
      </c>
      <c r="V199" s="13">
        <f t="shared" si="33"/>
        <v>92585400000</v>
      </c>
      <c r="W199" s="13">
        <f t="shared" si="34"/>
        <v>96910200000</v>
      </c>
    </row>
    <row r="200" spans="2:23" ht="30" customHeight="1" x14ac:dyDescent="0.2">
      <c r="B200" s="17">
        <f t="shared" si="42"/>
        <v>96</v>
      </c>
      <c r="C200" s="36" t="s">
        <v>315</v>
      </c>
      <c r="D200" s="36" t="s">
        <v>316</v>
      </c>
      <c r="E200" s="57"/>
      <c r="F200" s="20">
        <v>2.6</v>
      </c>
      <c r="G200" s="21">
        <v>51000</v>
      </c>
      <c r="H200" s="22">
        <f>F200*$H$8+468</f>
        <v>55000.4</v>
      </c>
      <c r="I200" s="22">
        <f>F200*$I$8-340</f>
        <v>57000.4</v>
      </c>
      <c r="J200" s="13">
        <f>$F200*$J$8+216</f>
        <v>61999.8</v>
      </c>
      <c r="K200" s="13">
        <f>$F200*$K$8+157</f>
        <v>64000</v>
      </c>
      <c r="L200" s="13">
        <f>$F200*$L$8-343</f>
        <v>65000.200000000004</v>
      </c>
      <c r="M200" s="13">
        <f t="shared" si="27"/>
        <v>68207.400000000009</v>
      </c>
      <c r="N200" s="13">
        <f t="shared" si="37"/>
        <v>70000</v>
      </c>
      <c r="O200" s="13">
        <f t="shared" si="36"/>
        <v>71000</v>
      </c>
      <c r="P200" s="13">
        <f t="shared" si="28"/>
        <v>74000</v>
      </c>
      <c r="Q200" s="13">
        <f t="shared" si="29"/>
        <v>77000</v>
      </c>
      <c r="R200" s="13">
        <f t="shared" si="30"/>
        <v>83000</v>
      </c>
      <c r="S200" s="13">
        <f t="shared" si="31"/>
        <v>86000</v>
      </c>
      <c r="T200" s="13">
        <f t="shared" si="35"/>
        <v>89000</v>
      </c>
      <c r="U200" s="13">
        <f t="shared" si="32"/>
        <v>93000</v>
      </c>
      <c r="V200" s="13">
        <f t="shared" si="33"/>
        <v>94000</v>
      </c>
      <c r="W200" s="13">
        <f t="shared" si="34"/>
        <v>99000</v>
      </c>
    </row>
    <row r="201" spans="2:23" ht="30" customHeight="1" x14ac:dyDescent="0.2">
      <c r="B201" s="9">
        <f t="shared" si="42"/>
        <v>97</v>
      </c>
      <c r="C201" s="19" t="s">
        <v>317</v>
      </c>
      <c r="D201" s="19" t="s">
        <v>318</v>
      </c>
      <c r="E201" s="57"/>
      <c r="F201" s="14">
        <v>1200</v>
      </c>
      <c r="G201" s="12">
        <v>24677000</v>
      </c>
      <c r="H201" s="13">
        <f>F201*$H$8+200</f>
        <v>25169000</v>
      </c>
      <c r="I201" s="13">
        <f>F201*$I$8+200</f>
        <v>26465000</v>
      </c>
      <c r="J201" s="13">
        <f>$F201*$J$8+400</f>
        <v>28516000</v>
      </c>
      <c r="K201" s="13">
        <f>$F201*$K$8</f>
        <v>29466000</v>
      </c>
      <c r="L201" s="13">
        <f>$F201*$L$8-400</f>
        <v>30158000</v>
      </c>
      <c r="M201" s="13">
        <f t="shared" si="27"/>
        <v>31259280</v>
      </c>
      <c r="N201" s="13">
        <f t="shared" si="37"/>
        <v>32209000</v>
      </c>
      <c r="O201" s="13">
        <f t="shared" si="36"/>
        <v>32982000</v>
      </c>
      <c r="P201" s="13">
        <f t="shared" si="28"/>
        <v>33935000</v>
      </c>
      <c r="Q201" s="13">
        <f t="shared" si="29"/>
        <v>35704000</v>
      </c>
      <c r="R201" s="13">
        <f t="shared" si="30"/>
        <v>38231000</v>
      </c>
      <c r="S201" s="13">
        <f t="shared" si="31"/>
        <v>39787000</v>
      </c>
      <c r="T201" s="13">
        <f t="shared" si="35"/>
        <v>41124000</v>
      </c>
      <c r="U201" s="13">
        <f t="shared" si="32"/>
        <v>42728000</v>
      </c>
      <c r="V201" s="13">
        <f t="shared" si="33"/>
        <v>43570000</v>
      </c>
      <c r="W201" s="13">
        <f t="shared" si="34"/>
        <v>45605000</v>
      </c>
    </row>
    <row r="202" spans="2:23" ht="30" customHeight="1" x14ac:dyDescent="0.2">
      <c r="B202" s="9"/>
      <c r="C202" s="19" t="s">
        <v>319</v>
      </c>
      <c r="D202" s="19"/>
      <c r="E202" s="57"/>
      <c r="F202" s="14"/>
      <c r="G202" s="12"/>
      <c r="H202" s="23"/>
      <c r="I202" s="9"/>
      <c r="J202" s="9"/>
      <c r="K202" s="9"/>
      <c r="L202" s="13" t="s">
        <v>0</v>
      </c>
      <c r="M202" s="13">
        <f t="shared" si="27"/>
        <v>480</v>
      </c>
      <c r="N202" s="13">
        <f t="shared" si="37"/>
        <v>0</v>
      </c>
      <c r="O202" s="13">
        <f t="shared" si="36"/>
        <v>0</v>
      </c>
      <c r="P202" s="13">
        <f t="shared" si="28"/>
        <v>0</v>
      </c>
      <c r="Q202" s="13"/>
      <c r="R202" s="13">
        <f t="shared" si="30"/>
        <v>0</v>
      </c>
      <c r="S202" s="13">
        <f t="shared" si="31"/>
        <v>0</v>
      </c>
      <c r="T202" s="13">
        <f t="shared" si="35"/>
        <v>0</v>
      </c>
      <c r="U202" s="13">
        <f t="shared" si="32"/>
        <v>0</v>
      </c>
      <c r="V202" s="13">
        <f t="shared" si="33"/>
        <v>0</v>
      </c>
      <c r="W202" s="13">
        <f t="shared" si="34"/>
        <v>0</v>
      </c>
    </row>
    <row r="203" spans="2:23" ht="30" customHeight="1" x14ac:dyDescent="0.2">
      <c r="B203" s="9">
        <f>B201+1</f>
        <v>98</v>
      </c>
      <c r="C203" s="19" t="s">
        <v>125</v>
      </c>
      <c r="D203" s="19" t="s">
        <v>320</v>
      </c>
      <c r="E203" s="57"/>
      <c r="F203" s="14">
        <v>4600</v>
      </c>
      <c r="G203" s="12">
        <v>92552000</v>
      </c>
      <c r="H203" s="13">
        <f>F203*$H$8-400</f>
        <v>96480000</v>
      </c>
      <c r="I203" s="13">
        <f>F203*$I$8-400</f>
        <v>101448000</v>
      </c>
      <c r="J203" s="13">
        <f>$F203*$J$8+200</f>
        <v>109310000</v>
      </c>
      <c r="K203" s="13">
        <f>$F203*$K$8</f>
        <v>112953000</v>
      </c>
      <c r="L203" s="13">
        <f>$F203*$L$8-200</f>
        <v>115607000</v>
      </c>
      <c r="M203" s="13">
        <f t="shared" ref="M203:M212" si="43">$F203*$M$8+480</f>
        <v>119825880</v>
      </c>
      <c r="N203" s="13">
        <f t="shared" si="37"/>
        <v>123469000</v>
      </c>
      <c r="O203" s="13">
        <f t="shared" si="36"/>
        <v>126431000</v>
      </c>
      <c r="P203" s="13">
        <f t="shared" ref="P203:P212" si="44">ROUND(($F203*$P$8),-3)</f>
        <v>130083000</v>
      </c>
      <c r="Q203" s="13">
        <f t="shared" ref="Q203:Q212" si="45">ROUND(($F203*$Q$8),-3)</f>
        <v>136864000</v>
      </c>
      <c r="R203" s="13">
        <f t="shared" ref="R203:R214" si="46">ROUND(($F203*$R$8),-3)</f>
        <v>146551000</v>
      </c>
      <c r="S203" s="13">
        <f t="shared" ref="S203:S214" si="47">ROUND(($F203*$S$8),-3)</f>
        <v>152518000</v>
      </c>
      <c r="T203" s="13">
        <f t="shared" si="35"/>
        <v>157642000</v>
      </c>
      <c r="U203" s="13">
        <f t="shared" ref="U203:U230" si="48">ROUND(($F203*$U$8),-3)</f>
        <v>163792000</v>
      </c>
      <c r="V203" s="13">
        <f t="shared" ref="V203:V212" si="49">ROUND(($F203*$V$8),-3)</f>
        <v>167017000</v>
      </c>
      <c r="W203" s="13">
        <f t="shared" ref="W203:W222" si="50">ROUND(($F203*$W$8),-3)</f>
        <v>174818000</v>
      </c>
    </row>
    <row r="204" spans="2:23" ht="30" customHeight="1" x14ac:dyDescent="0.2">
      <c r="B204" s="9">
        <v>98</v>
      </c>
      <c r="C204" s="19" t="s">
        <v>321</v>
      </c>
      <c r="D204" s="19" t="s">
        <v>322</v>
      </c>
      <c r="E204" s="57"/>
      <c r="F204" s="14">
        <v>4600</v>
      </c>
      <c r="G204" s="12">
        <v>92552000</v>
      </c>
      <c r="H204" s="13">
        <f>F204*$H$8-400</f>
        <v>96480000</v>
      </c>
      <c r="I204" s="13">
        <f>F204*$I$8-400</f>
        <v>101448000</v>
      </c>
      <c r="J204" s="13">
        <f>$F204*$J$8+200</f>
        <v>109310000</v>
      </c>
      <c r="K204" s="13">
        <f>$F204*$K$8</f>
        <v>112953000</v>
      </c>
      <c r="L204" s="13">
        <f>$F204*$L$8-200</f>
        <v>115607000</v>
      </c>
      <c r="M204" s="13">
        <f t="shared" si="43"/>
        <v>119825880</v>
      </c>
      <c r="N204" s="13">
        <f t="shared" si="37"/>
        <v>123469000</v>
      </c>
      <c r="O204" s="13">
        <f t="shared" si="36"/>
        <v>126431000</v>
      </c>
      <c r="P204" s="13">
        <f t="shared" si="44"/>
        <v>130083000</v>
      </c>
      <c r="Q204" s="13">
        <f t="shared" si="45"/>
        <v>136864000</v>
      </c>
      <c r="R204" s="13">
        <f t="shared" si="46"/>
        <v>146551000</v>
      </c>
      <c r="S204" s="13">
        <f t="shared" si="47"/>
        <v>152518000</v>
      </c>
      <c r="T204" s="13">
        <f t="shared" ref="T204:T214" si="51">ROUND(($F204*$T$8),-3)</f>
        <v>157642000</v>
      </c>
      <c r="U204" s="13">
        <f t="shared" si="48"/>
        <v>163792000</v>
      </c>
      <c r="V204" s="13">
        <f t="shared" si="49"/>
        <v>167017000</v>
      </c>
      <c r="W204" s="13">
        <f t="shared" si="50"/>
        <v>174818000</v>
      </c>
    </row>
    <row r="205" spans="2:23" ht="30" customHeight="1" x14ac:dyDescent="0.2">
      <c r="B205" s="9">
        <v>98</v>
      </c>
      <c r="C205" s="19" t="s">
        <v>323</v>
      </c>
      <c r="D205" s="19" t="s">
        <v>324</v>
      </c>
      <c r="E205" s="57"/>
      <c r="F205" s="11">
        <v>100</v>
      </c>
      <c r="G205" s="12">
        <v>2056000</v>
      </c>
      <c r="H205" s="13">
        <f>F205*$H$8-400</f>
        <v>2097000</v>
      </c>
      <c r="I205" s="13">
        <f>F205*$I$8-400</f>
        <v>2205000</v>
      </c>
      <c r="J205" s="13">
        <f>$F205*$J$8-300</f>
        <v>2376000</v>
      </c>
      <c r="K205" s="13">
        <f>$F205*$K$8+500</f>
        <v>2456000</v>
      </c>
      <c r="L205" s="13">
        <f>$F205*$L$8-200</f>
        <v>2513000</v>
      </c>
      <c r="M205" s="13">
        <f t="shared" si="43"/>
        <v>2605380</v>
      </c>
      <c r="N205" s="13">
        <f t="shared" si="37"/>
        <v>2684000</v>
      </c>
      <c r="O205" s="13">
        <f t="shared" ref="O205:O212" si="52">ROUND(($F205*$O$8),-3)</f>
        <v>2749000</v>
      </c>
      <c r="P205" s="13">
        <f t="shared" si="44"/>
        <v>2828000</v>
      </c>
      <c r="Q205" s="13">
        <f t="shared" si="45"/>
        <v>2975000</v>
      </c>
      <c r="R205" s="13">
        <f t="shared" si="46"/>
        <v>3186000</v>
      </c>
      <c r="S205" s="13">
        <f t="shared" si="47"/>
        <v>3316000</v>
      </c>
      <c r="T205" s="13">
        <f t="shared" si="51"/>
        <v>3427000</v>
      </c>
      <c r="U205" s="13">
        <f t="shared" si="48"/>
        <v>3561000</v>
      </c>
      <c r="V205" s="13">
        <f t="shared" si="49"/>
        <v>3631000</v>
      </c>
      <c r="W205" s="13">
        <f t="shared" si="50"/>
        <v>3800000</v>
      </c>
    </row>
    <row r="206" spans="2:23" ht="30" customHeight="1" x14ac:dyDescent="0.2">
      <c r="B206" s="9"/>
      <c r="C206" s="19" t="s">
        <v>325</v>
      </c>
      <c r="D206" s="19"/>
      <c r="E206" s="58"/>
      <c r="F206" s="14"/>
      <c r="G206" s="9"/>
      <c r="H206" s="23"/>
      <c r="I206" s="9"/>
      <c r="J206" s="9"/>
      <c r="K206" s="9"/>
      <c r="L206" s="13" t="s">
        <v>0</v>
      </c>
      <c r="M206" s="13">
        <f t="shared" si="43"/>
        <v>480</v>
      </c>
      <c r="N206" s="13">
        <f t="shared" ref="N206:N212" si="53">ROUND(($F206*$N$8),-3)</f>
        <v>0</v>
      </c>
      <c r="O206" s="13">
        <f t="shared" si="52"/>
        <v>0</v>
      </c>
      <c r="P206" s="13">
        <f t="shared" si="44"/>
        <v>0</v>
      </c>
      <c r="Q206" s="13"/>
      <c r="R206" s="13">
        <f t="shared" si="46"/>
        <v>0</v>
      </c>
      <c r="S206" s="13">
        <f t="shared" si="47"/>
        <v>0</v>
      </c>
      <c r="T206" s="13">
        <f t="shared" si="51"/>
        <v>0</v>
      </c>
      <c r="U206" s="13">
        <f t="shared" si="48"/>
        <v>0</v>
      </c>
      <c r="V206" s="13">
        <f t="shared" si="49"/>
        <v>0</v>
      </c>
      <c r="W206" s="13">
        <f t="shared" si="50"/>
        <v>0</v>
      </c>
    </row>
    <row r="207" spans="2:23" ht="30" customHeight="1" x14ac:dyDescent="0.2">
      <c r="B207" s="9">
        <f>B203+1</f>
        <v>99</v>
      </c>
      <c r="C207" s="19" t="s">
        <v>14</v>
      </c>
      <c r="D207" s="19" t="s">
        <v>326</v>
      </c>
      <c r="E207" s="57"/>
      <c r="F207" s="14">
        <v>1200</v>
      </c>
      <c r="G207" s="12">
        <v>24810000</v>
      </c>
      <c r="H207" s="13">
        <f>F207*$H$8+200</f>
        <v>25169000</v>
      </c>
      <c r="I207" s="13">
        <f>F207*$I$8+200</f>
        <v>26465000</v>
      </c>
      <c r="J207" s="13">
        <f>$F207*$J$8+400</f>
        <v>28516000</v>
      </c>
      <c r="K207" s="13">
        <f>$F207*$K$8</f>
        <v>29466000</v>
      </c>
      <c r="L207" s="13">
        <f>$F207*$L$8-400</f>
        <v>30158000</v>
      </c>
      <c r="M207" s="13">
        <f t="shared" si="43"/>
        <v>31259280</v>
      </c>
      <c r="N207" s="13">
        <f t="shared" si="53"/>
        <v>32209000</v>
      </c>
      <c r="O207" s="13">
        <f t="shared" si="52"/>
        <v>32982000</v>
      </c>
      <c r="P207" s="13">
        <f t="shared" si="44"/>
        <v>33935000</v>
      </c>
      <c r="Q207" s="13">
        <f t="shared" si="45"/>
        <v>35704000</v>
      </c>
      <c r="R207" s="13">
        <f t="shared" si="46"/>
        <v>38231000</v>
      </c>
      <c r="S207" s="13">
        <f t="shared" si="47"/>
        <v>39787000</v>
      </c>
      <c r="T207" s="13">
        <f t="shared" si="51"/>
        <v>41124000</v>
      </c>
      <c r="U207" s="13">
        <f t="shared" si="48"/>
        <v>42728000</v>
      </c>
      <c r="V207" s="13">
        <f t="shared" si="49"/>
        <v>43570000</v>
      </c>
      <c r="W207" s="13">
        <f t="shared" si="50"/>
        <v>45605000</v>
      </c>
    </row>
    <row r="208" spans="2:23" ht="30" customHeight="1" x14ac:dyDescent="0.2">
      <c r="B208" s="9">
        <v>99</v>
      </c>
      <c r="C208" s="19" t="s">
        <v>24</v>
      </c>
      <c r="D208" s="19" t="s">
        <v>327</v>
      </c>
      <c r="E208" s="57"/>
      <c r="F208" s="14">
        <v>1300</v>
      </c>
      <c r="G208" s="12">
        <v>26067000</v>
      </c>
      <c r="H208" s="13">
        <f>F208*$H$8-200</f>
        <v>27266000</v>
      </c>
      <c r="I208" s="13">
        <f>F208*$I$8-200</f>
        <v>28670000</v>
      </c>
      <c r="J208" s="13">
        <f>$F208*$J$8+100</f>
        <v>30892000</v>
      </c>
      <c r="K208" s="13">
        <f>$F208*$K$8+500</f>
        <v>31922000</v>
      </c>
      <c r="L208" s="13">
        <f>$F208*$L$8+400</f>
        <v>32672000</v>
      </c>
      <c r="M208" s="13">
        <f t="shared" si="43"/>
        <v>33864180</v>
      </c>
      <c r="N208" s="13">
        <f t="shared" si="53"/>
        <v>34893000</v>
      </c>
      <c r="O208" s="13">
        <f t="shared" si="52"/>
        <v>35731000</v>
      </c>
      <c r="P208" s="13">
        <f t="shared" si="44"/>
        <v>36763000</v>
      </c>
      <c r="Q208" s="13">
        <f t="shared" si="45"/>
        <v>38679000</v>
      </c>
      <c r="R208" s="13">
        <f t="shared" si="46"/>
        <v>41417000</v>
      </c>
      <c r="S208" s="13">
        <f t="shared" si="47"/>
        <v>43103000</v>
      </c>
      <c r="T208" s="13">
        <f t="shared" si="51"/>
        <v>44551000</v>
      </c>
      <c r="U208" s="13">
        <f t="shared" si="48"/>
        <v>46289000</v>
      </c>
      <c r="V208" s="13">
        <f t="shared" si="49"/>
        <v>47200000</v>
      </c>
      <c r="W208" s="13">
        <f t="shared" si="50"/>
        <v>49405000</v>
      </c>
    </row>
    <row r="209" spans="2:23" ht="30" customHeight="1" x14ac:dyDescent="0.2">
      <c r="B209" s="17"/>
      <c r="C209" s="36" t="s">
        <v>328</v>
      </c>
      <c r="D209" s="36"/>
      <c r="E209" s="58"/>
      <c r="F209" s="24"/>
      <c r="G209" s="17"/>
      <c r="H209" s="25"/>
      <c r="I209" s="17"/>
      <c r="J209" s="17"/>
      <c r="K209" s="17"/>
      <c r="L209" s="13" t="s">
        <v>0</v>
      </c>
      <c r="M209" s="13">
        <f t="shared" si="43"/>
        <v>480</v>
      </c>
      <c r="N209" s="13">
        <f t="shared" si="53"/>
        <v>0</v>
      </c>
      <c r="O209" s="13">
        <f t="shared" si="52"/>
        <v>0</v>
      </c>
      <c r="P209" s="13">
        <f t="shared" si="44"/>
        <v>0</v>
      </c>
      <c r="Q209" s="13"/>
      <c r="R209" s="13">
        <f t="shared" si="46"/>
        <v>0</v>
      </c>
      <c r="S209" s="13">
        <f t="shared" si="47"/>
        <v>0</v>
      </c>
      <c r="T209" s="13">
        <f t="shared" si="51"/>
        <v>0</v>
      </c>
      <c r="U209" s="13">
        <f t="shared" si="48"/>
        <v>0</v>
      </c>
      <c r="V209" s="13">
        <f t="shared" si="49"/>
        <v>0</v>
      </c>
      <c r="W209" s="13">
        <f t="shared" si="50"/>
        <v>0</v>
      </c>
    </row>
    <row r="210" spans="2:23" ht="30" customHeight="1" x14ac:dyDescent="0.2">
      <c r="B210" s="17">
        <f>B207+1</f>
        <v>100</v>
      </c>
      <c r="C210" s="36" t="s">
        <v>329</v>
      </c>
      <c r="D210" s="36" t="s">
        <v>55</v>
      </c>
      <c r="E210" s="57"/>
      <c r="F210" s="24">
        <v>1500</v>
      </c>
      <c r="G210" s="26">
        <v>30552000</v>
      </c>
      <c r="H210" s="22">
        <f>F210*$H$8</f>
        <v>31461000</v>
      </c>
      <c r="I210" s="22">
        <f>F210*$I$8</f>
        <v>33081000</v>
      </c>
      <c r="J210" s="13">
        <f>$F210*$J$8+500</f>
        <v>35645000</v>
      </c>
      <c r="K210" s="13">
        <f>$F210*$K$8+500</f>
        <v>36833000</v>
      </c>
      <c r="L210" s="13">
        <f>$F210*$L$8</f>
        <v>37698000</v>
      </c>
      <c r="M210" s="13">
        <f t="shared" si="43"/>
        <v>39073980</v>
      </c>
      <c r="N210" s="13">
        <f t="shared" si="53"/>
        <v>40262000</v>
      </c>
      <c r="O210" s="13">
        <f t="shared" si="52"/>
        <v>41228000</v>
      </c>
      <c r="P210" s="13">
        <f t="shared" si="44"/>
        <v>42419000</v>
      </c>
      <c r="Q210" s="13">
        <f t="shared" si="45"/>
        <v>44630000</v>
      </c>
      <c r="R210" s="13">
        <f t="shared" si="46"/>
        <v>47789000</v>
      </c>
      <c r="S210" s="13">
        <f t="shared" si="47"/>
        <v>49734000</v>
      </c>
      <c r="T210" s="13">
        <f t="shared" si="51"/>
        <v>51405000</v>
      </c>
      <c r="U210" s="13">
        <f t="shared" si="48"/>
        <v>53411000</v>
      </c>
      <c r="V210" s="13">
        <f t="shared" si="49"/>
        <v>54462000</v>
      </c>
      <c r="W210" s="13">
        <f t="shared" si="50"/>
        <v>57006000</v>
      </c>
    </row>
    <row r="211" spans="2:23" ht="30" customHeight="1" x14ac:dyDescent="0.2">
      <c r="B211" s="17">
        <v>100</v>
      </c>
      <c r="C211" s="36" t="s">
        <v>183</v>
      </c>
      <c r="D211" s="36" t="s">
        <v>56</v>
      </c>
      <c r="E211" s="57"/>
      <c r="F211" s="27">
        <v>3400</v>
      </c>
      <c r="G211" s="28">
        <v>68740000</v>
      </c>
      <c r="H211" s="22">
        <f>F211*$H$8+400</f>
        <v>71312000</v>
      </c>
      <c r="I211" s="22">
        <f>F211*$I$8+400</f>
        <v>74984000</v>
      </c>
      <c r="J211" s="13">
        <f>$F211*$J$8-200</f>
        <v>80794000</v>
      </c>
      <c r="K211" s="13">
        <f>$F211*$K$8</f>
        <v>83487000</v>
      </c>
      <c r="L211" s="13">
        <f>$F211*$L$8+200</f>
        <v>85449000</v>
      </c>
      <c r="M211" s="13">
        <f t="shared" si="43"/>
        <v>88567080</v>
      </c>
      <c r="N211" s="13">
        <f t="shared" si="53"/>
        <v>91259000</v>
      </c>
      <c r="O211" s="13">
        <f t="shared" si="52"/>
        <v>93449000</v>
      </c>
      <c r="P211" s="13">
        <f t="shared" si="44"/>
        <v>96149000</v>
      </c>
      <c r="Q211" s="13">
        <f t="shared" si="45"/>
        <v>101160000</v>
      </c>
      <c r="R211" s="13">
        <f t="shared" si="46"/>
        <v>108321000</v>
      </c>
      <c r="S211" s="13">
        <f t="shared" si="47"/>
        <v>112730000</v>
      </c>
      <c r="T211" s="13">
        <f t="shared" si="51"/>
        <v>116518000</v>
      </c>
      <c r="U211" s="13">
        <f t="shared" si="48"/>
        <v>121064000</v>
      </c>
      <c r="V211" s="13">
        <f t="shared" si="49"/>
        <v>123447000</v>
      </c>
      <c r="W211" s="13">
        <f t="shared" si="50"/>
        <v>129214000</v>
      </c>
    </row>
    <row r="212" spans="2:23" ht="30" customHeight="1" x14ac:dyDescent="0.2">
      <c r="B212" s="17">
        <v>100</v>
      </c>
      <c r="C212" s="36" t="s">
        <v>57</v>
      </c>
      <c r="D212" s="36" t="s">
        <v>58</v>
      </c>
      <c r="E212" s="57"/>
      <c r="F212" s="24">
        <v>3400</v>
      </c>
      <c r="G212" s="26">
        <v>68740000</v>
      </c>
      <c r="H212" s="22">
        <f>F212*$H$8+400</f>
        <v>71312000</v>
      </c>
      <c r="I212" s="22">
        <f>F212*$I$8+400</f>
        <v>74984000</v>
      </c>
      <c r="J212" s="13">
        <f>$F212*$J$8-200</f>
        <v>80794000</v>
      </c>
      <c r="K212" s="13">
        <f>$F212*$K$8</f>
        <v>83487000</v>
      </c>
      <c r="L212" s="13">
        <f>$F212*$L$8+200</f>
        <v>85449000</v>
      </c>
      <c r="M212" s="13">
        <f t="shared" si="43"/>
        <v>88567080</v>
      </c>
      <c r="N212" s="13">
        <f t="shared" si="53"/>
        <v>91259000</v>
      </c>
      <c r="O212" s="13">
        <f t="shared" si="52"/>
        <v>93449000</v>
      </c>
      <c r="P212" s="13">
        <f t="shared" si="44"/>
        <v>96149000</v>
      </c>
      <c r="Q212" s="13">
        <f t="shared" si="45"/>
        <v>101160000</v>
      </c>
      <c r="R212" s="13">
        <f t="shared" si="46"/>
        <v>108321000</v>
      </c>
      <c r="S212" s="13">
        <f t="shared" si="47"/>
        <v>112730000</v>
      </c>
      <c r="T212" s="13">
        <f t="shared" si="51"/>
        <v>116518000</v>
      </c>
      <c r="U212" s="13">
        <f t="shared" si="48"/>
        <v>121064000</v>
      </c>
      <c r="V212" s="13">
        <f t="shared" si="49"/>
        <v>123447000</v>
      </c>
      <c r="W212" s="13">
        <f t="shared" si="50"/>
        <v>129214000</v>
      </c>
    </row>
    <row r="213" spans="2:23" ht="30" customHeight="1" x14ac:dyDescent="0.2">
      <c r="B213" s="9"/>
      <c r="C213" s="19"/>
      <c r="D213" s="19"/>
      <c r="E213" s="58"/>
      <c r="F213" s="12"/>
      <c r="G213" s="9"/>
      <c r="H213" s="23"/>
      <c r="I213" s="9"/>
      <c r="J213" s="9"/>
      <c r="K213" s="9"/>
      <c r="L213" s="13" t="s">
        <v>0</v>
      </c>
      <c r="M213" s="13"/>
      <c r="N213" s="13"/>
      <c r="O213" s="13"/>
      <c r="P213" s="13"/>
      <c r="Q213" s="13"/>
      <c r="R213" s="13">
        <f t="shared" si="46"/>
        <v>0</v>
      </c>
      <c r="S213" s="13">
        <f t="shared" si="47"/>
        <v>0</v>
      </c>
      <c r="T213" s="13">
        <f t="shared" si="51"/>
        <v>0</v>
      </c>
      <c r="U213" s="13">
        <f t="shared" si="48"/>
        <v>0</v>
      </c>
      <c r="W213" s="13">
        <f t="shared" si="50"/>
        <v>0</v>
      </c>
    </row>
    <row r="214" spans="2:23" ht="30" customHeight="1" x14ac:dyDescent="0.2">
      <c r="B214" s="9"/>
      <c r="C214" s="19"/>
      <c r="D214" s="19"/>
      <c r="E214" s="57"/>
      <c r="F214" s="9"/>
      <c r="G214" s="9"/>
      <c r="H214" s="23"/>
      <c r="I214" s="9"/>
      <c r="J214" s="9"/>
      <c r="K214" s="9"/>
      <c r="L214" s="13" t="s">
        <v>0</v>
      </c>
      <c r="M214" s="13"/>
      <c r="N214" s="13"/>
      <c r="O214" s="13"/>
      <c r="P214" s="13"/>
      <c r="Q214" s="13"/>
      <c r="R214" s="13">
        <f t="shared" si="46"/>
        <v>0</v>
      </c>
      <c r="S214" s="13">
        <f t="shared" si="47"/>
        <v>0</v>
      </c>
      <c r="T214" s="13">
        <f t="shared" si="51"/>
        <v>0</v>
      </c>
      <c r="U214" s="13">
        <f t="shared" si="48"/>
        <v>0</v>
      </c>
      <c r="W214" s="13">
        <f t="shared" si="50"/>
        <v>0</v>
      </c>
    </row>
    <row r="215" spans="2:23" ht="30" customHeight="1" x14ac:dyDescent="0.2">
      <c r="U215" s="13">
        <f t="shared" si="48"/>
        <v>0</v>
      </c>
      <c r="W215" s="13">
        <f t="shared" si="50"/>
        <v>0</v>
      </c>
    </row>
    <row r="216" spans="2:23" ht="30" customHeight="1" x14ac:dyDescent="0.2">
      <c r="U216" s="13">
        <f t="shared" si="48"/>
        <v>0</v>
      </c>
      <c r="W216" s="13">
        <f t="shared" si="50"/>
        <v>0</v>
      </c>
    </row>
    <row r="217" spans="2:23" ht="30" customHeight="1" x14ac:dyDescent="0.2">
      <c r="U217" s="13">
        <f t="shared" si="48"/>
        <v>0</v>
      </c>
      <c r="W217" s="13">
        <f t="shared" si="50"/>
        <v>0</v>
      </c>
    </row>
    <row r="218" spans="2:23" ht="30" customHeight="1" x14ac:dyDescent="0.2">
      <c r="U218" s="13">
        <f t="shared" si="48"/>
        <v>0</v>
      </c>
      <c r="W218" s="13">
        <f t="shared" si="50"/>
        <v>0</v>
      </c>
    </row>
    <row r="219" spans="2:23" ht="30" customHeight="1" x14ac:dyDescent="0.2">
      <c r="U219" s="13">
        <f t="shared" si="48"/>
        <v>0</v>
      </c>
      <c r="W219" s="13">
        <f t="shared" si="50"/>
        <v>0</v>
      </c>
    </row>
    <row r="220" spans="2:23" ht="30" customHeight="1" x14ac:dyDescent="0.2">
      <c r="U220" s="13">
        <f t="shared" si="48"/>
        <v>0</v>
      </c>
      <c r="W220" s="13">
        <f t="shared" si="50"/>
        <v>0</v>
      </c>
    </row>
    <row r="221" spans="2:23" ht="30" customHeight="1" x14ac:dyDescent="0.2">
      <c r="U221" s="13">
        <f t="shared" si="48"/>
        <v>0</v>
      </c>
      <c r="W221" s="13">
        <f t="shared" si="50"/>
        <v>0</v>
      </c>
    </row>
    <row r="222" spans="2:23" ht="30" customHeight="1" x14ac:dyDescent="0.2">
      <c r="U222" s="13">
        <f t="shared" si="48"/>
        <v>0</v>
      </c>
      <c r="W222" s="13">
        <f t="shared" si="50"/>
        <v>0</v>
      </c>
    </row>
    <row r="223" spans="2:23" ht="30" customHeight="1" x14ac:dyDescent="0.2">
      <c r="U223" s="13">
        <f t="shared" si="48"/>
        <v>0</v>
      </c>
    </row>
    <row r="224" spans="2:23" ht="30" customHeight="1" x14ac:dyDescent="0.2">
      <c r="U224" s="13">
        <f t="shared" si="48"/>
        <v>0</v>
      </c>
    </row>
    <row r="225" spans="21:21" ht="30" customHeight="1" x14ac:dyDescent="0.2">
      <c r="U225" s="13">
        <f t="shared" si="48"/>
        <v>0</v>
      </c>
    </row>
    <row r="226" spans="21:21" ht="30" customHeight="1" x14ac:dyDescent="0.2">
      <c r="U226" s="13">
        <f t="shared" si="48"/>
        <v>0</v>
      </c>
    </row>
    <row r="227" spans="21:21" ht="30" customHeight="1" x14ac:dyDescent="0.2">
      <c r="U227" s="13">
        <f t="shared" si="48"/>
        <v>0</v>
      </c>
    </row>
    <row r="228" spans="21:21" ht="30" customHeight="1" x14ac:dyDescent="0.2">
      <c r="U228" s="13">
        <f t="shared" si="48"/>
        <v>0</v>
      </c>
    </row>
    <row r="229" spans="21:21" ht="30" customHeight="1" x14ac:dyDescent="0.2">
      <c r="U229" s="13">
        <f t="shared" si="48"/>
        <v>0</v>
      </c>
    </row>
    <row r="230" spans="21:21" ht="30" customHeight="1" x14ac:dyDescent="0.2">
      <c r="U230" s="13">
        <f t="shared" si="48"/>
        <v>0</v>
      </c>
    </row>
    <row r="231" spans="21:21" ht="30" customHeight="1" x14ac:dyDescent="0.2"/>
    <row r="232" spans="21:21" ht="30" customHeight="1" x14ac:dyDescent="0.2"/>
    <row r="233" spans="21:21" ht="30" customHeight="1" x14ac:dyDescent="0.2"/>
    <row r="234" spans="21:21" ht="30" customHeight="1" x14ac:dyDescent="0.2"/>
    <row r="235" spans="21:21" ht="30" customHeight="1" x14ac:dyDescent="0.2"/>
    <row r="236" spans="21:21" ht="30" customHeight="1" x14ac:dyDescent="0.2"/>
    <row r="237" spans="21:21" ht="30" customHeight="1" x14ac:dyDescent="0.2"/>
    <row r="238" spans="21:21" ht="30" customHeight="1" x14ac:dyDescent="0.2"/>
    <row r="239" spans="21:21" ht="30" customHeight="1" x14ac:dyDescent="0.2"/>
    <row r="240" spans="21:21"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sheetData>
  <sheetProtection formatCells="0" formatColumns="0" formatRows="0" insertColumns="0" insertRows="0" insertHyperlinks="0" deleteColumns="0" deleteRows="0" sort="0" autoFilter="0" pivotTables="0"/>
  <customSheetViews>
    <customSheetView guid="{984CD521-F61A-4081-9FBE-1EFFB5F20A35}" hiddenColumns="1" topLeftCell="D1">
      <pane ySplit="1" topLeftCell="A10" activePane="bottomLeft" state="frozen"/>
      <selection pane="bottomLeft" activeCell="N10" sqref="N10"/>
      <pageMargins left="0.59055118110236227" right="0.59055118110236227" top="0.78740157480314965" bottom="0.78740157480314965" header="0.31496062992125984" footer="0.31496062992125984"/>
      <pageSetup orientation="portrait" verticalDpi="0" r:id="rId1"/>
    </customSheetView>
  </customSheetViews>
  <mergeCells count="1">
    <mergeCell ref="B3:I3"/>
  </mergeCells>
  <phoneticPr fontId="15" type="noConversion"/>
  <pageMargins left="0.59055118110236227" right="0.59055118110236227" top="0.78740157480314965" bottom="0.78740157480314965" header="0.31496062992125984" footer="0.31496062992125984"/>
  <pageSetup orientation="portrait" verticalDpi="0" r:id="rId2"/>
  <ignoredErrors>
    <ignoredError sqref="K30:L30 K49:K51 K61 K153 K162 K166 L49:L5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opLeftCell="A17" zoomScale="110" zoomScaleNormal="110" workbookViewId="0">
      <selection activeCell="C22" sqref="C22:I22"/>
    </sheetView>
  </sheetViews>
  <sheetFormatPr baseColWidth="10" defaultRowHeight="15" x14ac:dyDescent="0.2"/>
  <cols>
    <col min="1" max="1" width="2.42578125" style="34" customWidth="1"/>
    <col min="2" max="2" width="5" style="34" customWidth="1"/>
    <col min="3" max="5" width="11.42578125" style="34"/>
    <col min="6" max="6" width="8.7109375" style="34" customWidth="1"/>
    <col min="7" max="7" width="13.85546875" style="34" bestFit="1" customWidth="1"/>
    <col min="8" max="8" width="11.42578125" style="34"/>
    <col min="9" max="9" width="13.140625" style="34" customWidth="1"/>
    <col min="10" max="10" width="3.85546875" style="34" customWidth="1"/>
    <col min="11" max="11" width="17.42578125" style="437" bestFit="1" customWidth="1"/>
    <col min="12" max="12" width="5.28515625" style="34" customWidth="1"/>
    <col min="13" max="13" width="14.28515625" style="442" bestFit="1" customWidth="1"/>
    <col min="14" max="14" width="3.140625" style="34" customWidth="1"/>
    <col min="15" max="15" width="14.140625" style="441" customWidth="1"/>
    <col min="16" max="16384" width="11.42578125" style="34"/>
  </cols>
  <sheetData>
    <row r="1" spans="1:15" x14ac:dyDescent="0.2">
      <c r="G1" s="34" t="s">
        <v>0</v>
      </c>
    </row>
    <row r="2" spans="1:15" ht="15.75" x14ac:dyDescent="0.25">
      <c r="C2" s="538" t="s">
        <v>348</v>
      </c>
      <c r="D2" s="538"/>
      <c r="E2" s="538"/>
      <c r="F2" s="538"/>
      <c r="G2" s="538"/>
      <c r="H2" s="538"/>
      <c r="I2" s="538"/>
      <c r="J2" s="34" t="s">
        <v>0</v>
      </c>
    </row>
    <row r="4" spans="1:15" ht="33.75" customHeight="1" x14ac:dyDescent="0.25">
      <c r="C4" s="541" t="s">
        <v>337</v>
      </c>
      <c r="D4" s="541"/>
      <c r="E4" s="541"/>
      <c r="F4" s="541"/>
      <c r="G4" s="541"/>
      <c r="H4" s="541"/>
      <c r="I4" s="541"/>
    </row>
    <row r="6" spans="1:15" ht="93.75" customHeight="1" x14ac:dyDescent="0.2">
      <c r="C6" s="539" t="s">
        <v>426</v>
      </c>
      <c r="D6" s="540"/>
      <c r="E6" s="540"/>
      <c r="F6" s="540"/>
      <c r="G6" s="540"/>
      <c r="H6" s="540"/>
      <c r="I6" s="540"/>
    </row>
    <row r="7" spans="1:15" ht="15" customHeight="1" x14ac:dyDescent="0.25">
      <c r="C7" s="43"/>
      <c r="D7" s="43"/>
      <c r="E7" s="43"/>
      <c r="F7" s="43"/>
      <c r="G7" s="43"/>
      <c r="H7" s="43"/>
      <c r="I7" s="43"/>
    </row>
    <row r="8" spans="1:15" ht="30" customHeight="1" x14ac:dyDescent="0.25">
      <c r="C8" s="541" t="s">
        <v>339</v>
      </c>
      <c r="D8" s="541"/>
      <c r="E8" s="541"/>
      <c r="F8" s="541"/>
      <c r="G8" s="541"/>
      <c r="H8" s="541"/>
      <c r="I8" s="541"/>
    </row>
    <row r="9" spans="1:15" ht="15" customHeight="1" x14ac:dyDescent="0.25">
      <c r="C9" s="35"/>
      <c r="D9" s="35"/>
      <c r="E9" s="35"/>
      <c r="F9" s="35"/>
      <c r="G9" s="35"/>
      <c r="H9" s="35"/>
      <c r="I9" s="35"/>
    </row>
    <row r="10" spans="1:15" s="42" customFormat="1" ht="30" customHeight="1" x14ac:dyDescent="0.25">
      <c r="A10" s="513"/>
      <c r="B10" s="513"/>
      <c r="C10" s="541" t="s">
        <v>340</v>
      </c>
      <c r="D10" s="541"/>
      <c r="E10" s="541"/>
      <c r="F10" s="541"/>
      <c r="G10" s="541"/>
      <c r="H10" s="541"/>
      <c r="I10" s="541"/>
      <c r="K10" s="437"/>
      <c r="M10" s="445"/>
      <c r="O10" s="441"/>
    </row>
    <row r="11" spans="1:15" ht="15" customHeight="1" x14ac:dyDescent="0.2">
      <c r="C11" s="41" t="s">
        <v>0</v>
      </c>
      <c r="D11" s="41"/>
      <c r="E11" s="41"/>
      <c r="F11" s="41"/>
      <c r="G11" s="41"/>
      <c r="H11" s="41"/>
      <c r="I11" s="41"/>
    </row>
    <row r="12" spans="1:15" ht="15" customHeight="1" x14ac:dyDescent="0.2">
      <c r="C12" s="520" t="s">
        <v>341</v>
      </c>
      <c r="D12" s="520"/>
      <c r="E12" s="520"/>
      <c r="F12" s="520"/>
      <c r="G12" s="520"/>
      <c r="H12" s="520"/>
      <c r="I12" s="520"/>
    </row>
    <row r="13" spans="1:15" ht="15" customHeight="1" x14ac:dyDescent="0.2">
      <c r="C13" s="42" t="s">
        <v>0</v>
      </c>
      <c r="D13" s="42"/>
      <c r="E13" s="42"/>
      <c r="F13" s="42"/>
      <c r="G13" s="42"/>
      <c r="H13" s="42"/>
      <c r="I13" s="42"/>
    </row>
    <row r="14" spans="1:15" ht="30" customHeight="1" x14ac:dyDescent="0.2">
      <c r="C14" s="521" t="s">
        <v>342</v>
      </c>
      <c r="D14" s="521"/>
      <c r="E14" s="521"/>
      <c r="F14" s="521"/>
      <c r="G14" s="521"/>
      <c r="H14" s="521"/>
      <c r="I14" s="521"/>
      <c r="K14" s="451" t="s">
        <v>881</v>
      </c>
      <c r="M14" s="453" t="s">
        <v>882</v>
      </c>
      <c r="O14" s="453" t="s">
        <v>885</v>
      </c>
    </row>
    <row r="15" spans="1:15" ht="15" customHeight="1" x14ac:dyDescent="0.2">
      <c r="C15" s="42"/>
      <c r="D15" s="42"/>
      <c r="E15" s="42"/>
      <c r="F15" s="42"/>
      <c r="G15" s="42"/>
      <c r="H15" s="42"/>
      <c r="I15" s="42"/>
      <c r="M15" s="452" t="s">
        <v>0</v>
      </c>
      <c r="O15" s="453" t="s">
        <v>886</v>
      </c>
    </row>
    <row r="16" spans="1:15" ht="15" customHeight="1" x14ac:dyDescent="0.2">
      <c r="C16" s="520" t="s">
        <v>343</v>
      </c>
      <c r="D16" s="520"/>
      <c r="E16" s="520"/>
      <c r="F16" s="520"/>
      <c r="G16" s="520"/>
      <c r="H16" s="520"/>
      <c r="I16" s="520"/>
      <c r="M16" s="450" t="s">
        <v>0</v>
      </c>
    </row>
    <row r="17" spans="3:16" ht="15" customHeight="1" x14ac:dyDescent="0.2">
      <c r="C17" s="31"/>
      <c r="D17" s="41"/>
      <c r="E17" s="41"/>
      <c r="F17" s="41"/>
      <c r="G17" s="41"/>
      <c r="H17" s="41"/>
      <c r="I17" s="41"/>
      <c r="M17" s="450" t="s">
        <v>0</v>
      </c>
    </row>
    <row r="18" spans="3:16" ht="15" customHeight="1" x14ac:dyDescent="0.2">
      <c r="C18" s="520" t="s">
        <v>344</v>
      </c>
      <c r="D18" s="520"/>
      <c r="E18" s="520"/>
      <c r="F18" s="520"/>
      <c r="G18" s="520"/>
      <c r="H18" s="520"/>
      <c r="I18" s="520"/>
      <c r="P18" s="448" t="s">
        <v>0</v>
      </c>
    </row>
    <row r="19" spans="3:16" ht="15" customHeight="1" x14ac:dyDescent="0.2">
      <c r="C19" s="422"/>
      <c r="D19" s="422"/>
      <c r="E19" s="422"/>
      <c r="F19" s="422"/>
      <c r="G19" s="422"/>
      <c r="H19" s="422"/>
      <c r="I19" s="422"/>
    </row>
    <row r="20" spans="3:16" ht="99.75" customHeight="1" x14ac:dyDescent="0.2">
      <c r="C20" s="542" t="s">
        <v>880</v>
      </c>
      <c r="D20" s="542"/>
      <c r="E20" s="542"/>
      <c r="F20" s="542"/>
      <c r="G20" s="542"/>
      <c r="H20" s="542"/>
      <c r="I20" s="542"/>
      <c r="K20" s="436">
        <f>K22*1.0467</f>
        <v>38003.535877005685</v>
      </c>
      <c r="M20" s="446">
        <f>(K20-$K$71)/$K$71</f>
        <v>0.90017679385028426</v>
      </c>
      <c r="O20" s="443">
        <f>O22+4.67/100</f>
        <v>0.65689999999999993</v>
      </c>
    </row>
    <row r="21" spans="3:16" ht="15" customHeight="1" x14ac:dyDescent="0.2">
      <c r="C21" s="194"/>
      <c r="D21" s="194"/>
      <c r="E21" s="194"/>
      <c r="F21" s="194"/>
      <c r="G21" s="194"/>
      <c r="H21" s="194"/>
      <c r="I21" s="194"/>
    </row>
    <row r="22" spans="3:16" ht="96" customHeight="1" x14ac:dyDescent="0.2">
      <c r="C22" s="542" t="s">
        <v>682</v>
      </c>
      <c r="D22" s="542"/>
      <c r="E22" s="542"/>
      <c r="F22" s="542"/>
      <c r="G22" s="542"/>
      <c r="H22" s="542"/>
      <c r="I22" s="542"/>
      <c r="K22" s="436">
        <f>K24*1.0197</f>
        <v>36307.95440623453</v>
      </c>
      <c r="M22" s="446">
        <f>(K22-$K$71)/$K$71</f>
        <v>0.81539772031172653</v>
      </c>
      <c r="O22" s="443">
        <f>O24+1.97/100</f>
        <v>0.61019999999999996</v>
      </c>
    </row>
    <row r="23" spans="3:16" ht="15" customHeight="1" x14ac:dyDescent="0.2">
      <c r="C23" s="71"/>
      <c r="D23" s="71"/>
      <c r="E23" s="71"/>
      <c r="F23" s="71"/>
      <c r="G23" s="71"/>
      <c r="H23" s="71"/>
      <c r="I23" s="71"/>
    </row>
    <row r="24" spans="3:16" ht="102" customHeight="1" x14ac:dyDescent="0.2">
      <c r="C24" s="537" t="s">
        <v>445</v>
      </c>
      <c r="D24" s="537"/>
      <c r="E24" s="537"/>
      <c r="F24" s="537"/>
      <c r="G24" s="537"/>
      <c r="H24" s="537"/>
      <c r="I24" s="537"/>
      <c r="K24" s="436">
        <f>K26*1.039</f>
        <v>35606.506233435844</v>
      </c>
      <c r="M24" s="446">
        <f>(K24-$K$71)/$K$71</f>
        <v>0.7803253116717922</v>
      </c>
      <c r="O24" s="443">
        <f>O26+3.9/100</f>
        <v>0.59049999999999991</v>
      </c>
    </row>
    <row r="25" spans="3:16" ht="15" customHeight="1" x14ac:dyDescent="0.2">
      <c r="C25" s="96"/>
      <c r="D25" s="96"/>
      <c r="E25" s="96"/>
      <c r="F25" s="96"/>
      <c r="G25" s="96"/>
      <c r="H25" s="96"/>
      <c r="I25" s="96"/>
    </row>
    <row r="26" spans="3:16" ht="80.099999999999994" customHeight="1" x14ac:dyDescent="0.2">
      <c r="C26" s="531" t="s">
        <v>408</v>
      </c>
      <c r="D26" s="531"/>
      <c r="E26" s="531"/>
      <c r="F26" s="531"/>
      <c r="G26" s="531"/>
      <c r="H26" s="531"/>
      <c r="I26" s="531"/>
      <c r="K26" s="436">
        <f>K28*1.0336</f>
        <v>34269.977125539794</v>
      </c>
      <c r="L26" s="74"/>
      <c r="M26" s="446">
        <f>(K26-$K$71)/$K$71</f>
        <v>0.71349885627698972</v>
      </c>
      <c r="O26" s="443">
        <f>O28+3.36/100</f>
        <v>0.55149999999999988</v>
      </c>
    </row>
    <row r="27" spans="3:16" ht="15" customHeight="1" x14ac:dyDescent="0.2">
      <c r="C27" s="82"/>
      <c r="D27" s="82"/>
      <c r="E27" s="82"/>
      <c r="F27" s="82"/>
      <c r="G27" s="82"/>
      <c r="H27" s="82"/>
      <c r="I27" s="82"/>
    </row>
    <row r="28" spans="3:16" ht="108.75" customHeight="1" x14ac:dyDescent="0.2">
      <c r="C28" s="532" t="s">
        <v>393</v>
      </c>
      <c r="D28" s="532"/>
      <c r="E28" s="532"/>
      <c r="F28" s="532"/>
      <c r="G28" s="532"/>
      <c r="H28" s="532"/>
      <c r="I28" s="532"/>
      <c r="K28" s="436">
        <f>K30*1.0407</f>
        <v>33155.937621458776</v>
      </c>
      <c r="L28" s="74"/>
      <c r="M28" s="446">
        <f>(K28-$K$71)/$K$71</f>
        <v>0.65779688107293877</v>
      </c>
      <c r="O28" s="443">
        <f>O30+4.07/100</f>
        <v>0.51789999999999992</v>
      </c>
    </row>
    <row r="29" spans="3:16" ht="15" customHeight="1" x14ac:dyDescent="0.2">
      <c r="C29" s="63"/>
      <c r="D29" s="63"/>
      <c r="E29" s="63"/>
      <c r="F29" s="63"/>
      <c r="G29" s="63"/>
      <c r="H29" s="63"/>
      <c r="I29" s="63"/>
    </row>
    <row r="30" spans="3:16" s="74" customFormat="1" ht="80.25" customHeight="1" x14ac:dyDescent="0.25">
      <c r="C30" s="531" t="s">
        <v>392</v>
      </c>
      <c r="D30" s="531"/>
      <c r="E30" s="531"/>
      <c r="F30" s="531"/>
      <c r="G30" s="531"/>
      <c r="H30" s="531"/>
      <c r="I30" s="531"/>
      <c r="K30" s="436">
        <f>K32*1.0708</f>
        <v>31859.265514998344</v>
      </c>
      <c r="M30" s="446">
        <f>(K30-$K$71)/$K$71</f>
        <v>0.59296327574991714</v>
      </c>
      <c r="O30" s="443">
        <f>O32+7.08/100</f>
        <v>0.47719999999999996</v>
      </c>
    </row>
    <row r="31" spans="3:16" ht="15" customHeight="1" x14ac:dyDescent="0.2">
      <c r="C31" s="72"/>
      <c r="D31" s="71"/>
      <c r="E31" s="71"/>
      <c r="F31" s="71"/>
      <c r="G31" s="71"/>
      <c r="H31" s="71"/>
      <c r="I31" s="71"/>
    </row>
    <row r="32" spans="3:16" ht="95.1" customHeight="1" x14ac:dyDescent="0.2">
      <c r="C32" s="530" t="s">
        <v>385</v>
      </c>
      <c r="D32" s="530"/>
      <c r="E32" s="530"/>
      <c r="F32" s="530"/>
      <c r="G32" s="530"/>
      <c r="H32" s="530"/>
      <c r="I32" s="530"/>
      <c r="K32" s="436">
        <f>K35*1.0521</f>
        <v>29752.769438735846</v>
      </c>
      <c r="M32" s="446">
        <f>(K32-$K$71)/$K$71</f>
        <v>0.48763847193679233</v>
      </c>
      <c r="O32" s="443">
        <f>O35+5.21/100</f>
        <v>0.40639999999999993</v>
      </c>
    </row>
    <row r="33" spans="3:15" ht="15" customHeight="1" x14ac:dyDescent="0.2">
      <c r="C33" s="63"/>
      <c r="D33" s="63"/>
      <c r="E33" s="63"/>
      <c r="F33" s="63"/>
      <c r="G33" s="63"/>
      <c r="H33" s="63"/>
      <c r="I33" s="63"/>
    </row>
    <row r="34" spans="3:15" ht="15" customHeight="1" x14ac:dyDescent="0.2">
      <c r="C34" s="60"/>
      <c r="D34" s="60"/>
      <c r="E34" s="60"/>
      <c r="F34" s="60"/>
      <c r="G34" s="60"/>
      <c r="H34" s="60"/>
      <c r="I34" s="60"/>
    </row>
    <row r="35" spans="3:15" ht="90.75" customHeight="1" x14ac:dyDescent="0.2">
      <c r="C35" s="528" t="s">
        <v>378</v>
      </c>
      <c r="D35" s="528"/>
      <c r="E35" s="528"/>
      <c r="F35" s="528"/>
      <c r="G35" s="528"/>
      <c r="H35" s="528"/>
      <c r="I35" s="528"/>
      <c r="K35" s="436">
        <f>K39*1.0289</f>
        <v>28279.412069894348</v>
      </c>
      <c r="M35" s="446">
        <f>(K35-$K$71)/$K$71</f>
        <v>0.41397060349471737</v>
      </c>
      <c r="O35" s="443">
        <f>O39+2.89/100</f>
        <v>0.35429999999999995</v>
      </c>
    </row>
    <row r="36" spans="3:15" ht="75" customHeight="1" x14ac:dyDescent="0.25">
      <c r="C36" s="529" t="s">
        <v>379</v>
      </c>
      <c r="D36" s="529"/>
      <c r="E36" s="529"/>
      <c r="F36" s="529"/>
      <c r="G36" s="529"/>
      <c r="H36" s="529"/>
      <c r="I36" s="529"/>
    </row>
    <row r="37" spans="3:15" ht="15" customHeight="1" x14ac:dyDescent="0.2">
      <c r="C37" s="60"/>
      <c r="D37" s="60"/>
      <c r="E37" s="60"/>
      <c r="F37" s="60"/>
      <c r="G37" s="60"/>
      <c r="H37" s="60"/>
      <c r="I37" s="60"/>
    </row>
    <row r="38" spans="3:15" ht="15" customHeight="1" x14ac:dyDescent="0.2">
      <c r="C38" s="46" t="s">
        <v>0</v>
      </c>
      <c r="D38" s="42"/>
      <c r="E38" s="42"/>
      <c r="F38" s="42"/>
      <c r="G38" s="42"/>
      <c r="H38" s="42"/>
      <c r="I38" s="42"/>
    </row>
    <row r="39" spans="3:15" ht="90" customHeight="1" x14ac:dyDescent="0.2">
      <c r="C39" s="528" t="s">
        <v>374</v>
      </c>
      <c r="D39" s="528"/>
      <c r="E39" s="528"/>
      <c r="F39" s="528"/>
      <c r="G39" s="528"/>
      <c r="H39" s="528"/>
      <c r="I39" s="528"/>
      <c r="K39" s="435">
        <f>K45*1.024</f>
        <v>27485.092885503305</v>
      </c>
      <c r="M39" s="446">
        <f>(K39-$K$71)/$K$71</f>
        <v>0.37425464427516525</v>
      </c>
      <c r="O39" s="443">
        <f>O45+2.4/100</f>
        <v>0.32539999999999997</v>
      </c>
    </row>
    <row r="40" spans="3:15" ht="18" customHeight="1" x14ac:dyDescent="0.2">
      <c r="C40" s="59"/>
      <c r="D40" s="59"/>
      <c r="E40" s="59"/>
      <c r="F40" s="59"/>
      <c r="G40" s="59"/>
      <c r="H40" s="59"/>
      <c r="I40" s="59"/>
    </row>
    <row r="41" spans="3:15" ht="59.1" customHeight="1" x14ac:dyDescent="0.2">
      <c r="C41" s="528" t="s">
        <v>377</v>
      </c>
      <c r="D41" s="528"/>
      <c r="E41" s="528"/>
      <c r="F41" s="528"/>
      <c r="G41" s="528"/>
      <c r="H41" s="528"/>
      <c r="I41" s="528"/>
    </row>
    <row r="42" spans="3:15" ht="15" customHeight="1" x14ac:dyDescent="0.2">
      <c r="C42" s="46" t="s">
        <v>0</v>
      </c>
      <c r="D42" s="42"/>
      <c r="E42" s="42"/>
      <c r="F42" s="42"/>
      <c r="G42" s="42"/>
      <c r="H42" s="42"/>
      <c r="I42" s="42"/>
    </row>
    <row r="43" spans="3:15" ht="45" customHeight="1" x14ac:dyDescent="0.2">
      <c r="C43" s="533" t="s">
        <v>368</v>
      </c>
      <c r="D43" s="533"/>
      <c r="E43" s="533"/>
      <c r="F43" s="533"/>
      <c r="G43" s="533"/>
      <c r="H43" s="533"/>
      <c r="I43" s="533"/>
      <c r="K43" s="438" t="s">
        <v>0</v>
      </c>
    </row>
    <row r="44" spans="3:15" ht="15" customHeight="1" x14ac:dyDescent="0.2">
      <c r="C44" s="46"/>
      <c r="D44" s="42"/>
      <c r="E44" s="42"/>
      <c r="F44" s="42"/>
      <c r="G44" s="42"/>
      <c r="H44" s="42"/>
      <c r="I44" s="42"/>
    </row>
    <row r="45" spans="3:15" ht="60" customHeight="1" x14ac:dyDescent="0.2">
      <c r="C45" s="534" t="s">
        <v>372</v>
      </c>
      <c r="D45" s="534"/>
      <c r="E45" s="534"/>
      <c r="F45" s="534"/>
      <c r="G45" s="534"/>
      <c r="H45" s="534"/>
      <c r="I45" s="534"/>
      <c r="K45" s="435">
        <f>K47*1.0304</f>
        <v>26840.91102099932</v>
      </c>
      <c r="M45" s="446">
        <f>(K45-$K$71)/$K$71</f>
        <v>0.34204555104996598</v>
      </c>
      <c r="O45" s="443">
        <f>O47+3.04/100</f>
        <v>0.30139999999999995</v>
      </c>
    </row>
    <row r="46" spans="3:15" ht="15" customHeight="1" x14ac:dyDescent="0.2">
      <c r="C46" s="46" t="s">
        <v>0</v>
      </c>
      <c r="D46" s="42"/>
      <c r="E46" s="42"/>
      <c r="F46" s="42"/>
      <c r="G46" s="42"/>
      <c r="H46" s="42"/>
      <c r="I46" s="42"/>
    </row>
    <row r="47" spans="3:15" ht="60" customHeight="1" x14ac:dyDescent="0.2">
      <c r="C47" s="527" t="s">
        <v>365</v>
      </c>
      <c r="D47" s="527"/>
      <c r="E47" s="527"/>
      <c r="F47" s="527"/>
      <c r="G47" s="527"/>
      <c r="H47" s="527"/>
      <c r="I47" s="527"/>
      <c r="K47" s="435">
        <f>K51*1.0365</f>
        <v>26049.020789013317</v>
      </c>
      <c r="M47" s="446">
        <f>(K47-$K$71)/$K$71</f>
        <v>0.30245103945066587</v>
      </c>
      <c r="O47" s="443">
        <f>O51+3.65/100</f>
        <v>0.27099999999999996</v>
      </c>
    </row>
    <row r="48" spans="3:15" ht="60" customHeight="1" x14ac:dyDescent="0.2">
      <c r="C48" s="523" t="s">
        <v>364</v>
      </c>
      <c r="D48" s="524"/>
      <c r="E48" s="524"/>
      <c r="F48" s="524"/>
      <c r="G48" s="524"/>
      <c r="H48" s="524"/>
      <c r="I48" s="524"/>
    </row>
    <row r="49" spans="3:15" ht="15" customHeight="1" x14ac:dyDescent="0.2">
      <c r="C49" s="423"/>
      <c r="D49" s="424"/>
      <c r="E49" s="424"/>
      <c r="F49" s="424"/>
      <c r="G49" s="424"/>
      <c r="H49" s="424"/>
      <c r="I49" s="424"/>
    </row>
    <row r="50" spans="3:15" ht="15" customHeight="1" x14ac:dyDescent="0.25">
      <c r="C50" s="536" t="s">
        <v>360</v>
      </c>
      <c r="D50" s="536"/>
      <c r="E50" s="536"/>
      <c r="F50" s="536"/>
      <c r="G50" s="536"/>
      <c r="H50" s="536"/>
      <c r="I50" s="536"/>
    </row>
    <row r="51" spans="3:15" s="44" customFormat="1" ht="60" customHeight="1" x14ac:dyDescent="0.2">
      <c r="C51" s="527" t="s">
        <v>362</v>
      </c>
      <c r="D51" s="535"/>
      <c r="E51" s="535"/>
      <c r="F51" s="535"/>
      <c r="G51" s="535"/>
      <c r="H51" s="535"/>
      <c r="I51" s="535"/>
      <c r="K51" s="440">
        <f>K56*1.0235</f>
        <v>25131.713255198571</v>
      </c>
      <c r="M51" s="446">
        <f>(K51-$K$71)/$K$71</f>
        <v>0.2565856627599285</v>
      </c>
      <c r="O51" s="449">
        <f>O56+2.35/100</f>
        <v>0.23449999999999999</v>
      </c>
    </row>
    <row r="52" spans="3:15" ht="15" customHeight="1" x14ac:dyDescent="0.2">
      <c r="C52" s="42"/>
      <c r="D52" s="42"/>
      <c r="E52" s="42"/>
      <c r="F52" s="42"/>
      <c r="G52" s="42"/>
      <c r="H52" s="42"/>
      <c r="I52" s="42"/>
    </row>
    <row r="53" spans="3:15" ht="60" customHeight="1" x14ac:dyDescent="0.25">
      <c r="C53" s="526" t="s">
        <v>361</v>
      </c>
      <c r="D53" s="526"/>
      <c r="E53" s="526"/>
      <c r="F53" s="526"/>
      <c r="G53" s="526"/>
      <c r="H53" s="526"/>
      <c r="I53" s="526"/>
    </row>
    <row r="54" spans="3:15" ht="15" customHeight="1" x14ac:dyDescent="0.2">
      <c r="C54" s="42"/>
      <c r="D54" s="42"/>
      <c r="E54" s="42"/>
      <c r="F54" s="42"/>
      <c r="G54" s="42"/>
      <c r="H54" s="42"/>
      <c r="I54" s="42"/>
    </row>
    <row r="55" spans="3:15" ht="15" customHeight="1" x14ac:dyDescent="0.25">
      <c r="C55" s="525" t="s">
        <v>331</v>
      </c>
      <c r="D55" s="525"/>
      <c r="E55" s="525"/>
      <c r="F55" s="525"/>
      <c r="G55" s="525"/>
      <c r="H55" s="525"/>
      <c r="I55" s="525"/>
    </row>
    <row r="56" spans="3:15" ht="75" customHeight="1" x14ac:dyDescent="0.25">
      <c r="C56" s="522" t="s">
        <v>332</v>
      </c>
      <c r="D56" s="522"/>
      <c r="E56" s="522"/>
      <c r="F56" s="522"/>
      <c r="G56" s="522"/>
      <c r="H56" s="522"/>
      <c r="I56" s="522"/>
      <c r="K56" s="435">
        <f>K61*1.0333</f>
        <v>24554.678314800753</v>
      </c>
      <c r="M56" s="446">
        <f>(K56-$K$71)/$K$71</f>
        <v>0.22773391574003762</v>
      </c>
      <c r="O56" s="443">
        <f>O61+3.33/100</f>
        <v>0.21099999999999999</v>
      </c>
    </row>
    <row r="57" spans="3:15" ht="15" customHeight="1" x14ac:dyDescent="0.2">
      <c r="C57" s="42"/>
      <c r="D57" s="42"/>
      <c r="E57" s="42"/>
      <c r="F57" s="42"/>
      <c r="G57" s="42"/>
      <c r="H57" s="42"/>
      <c r="I57" s="42"/>
    </row>
    <row r="58" spans="3:15" ht="81.75" customHeight="1" x14ac:dyDescent="0.2">
      <c r="C58" s="521" t="s">
        <v>333</v>
      </c>
      <c r="D58" s="521"/>
      <c r="E58" s="521"/>
      <c r="F58" s="521"/>
      <c r="G58" s="521"/>
      <c r="H58" s="521"/>
      <c r="I58" s="521"/>
    </row>
    <row r="59" spans="3:15" ht="15" customHeight="1" x14ac:dyDescent="0.2">
      <c r="C59" s="42"/>
      <c r="D59" s="42"/>
      <c r="E59" s="42"/>
      <c r="F59" s="42"/>
      <c r="G59" s="42"/>
      <c r="H59" s="42"/>
      <c r="I59" s="42"/>
    </row>
    <row r="60" spans="3:15" ht="15.75" x14ac:dyDescent="0.25">
      <c r="C60" s="525" t="s">
        <v>347</v>
      </c>
      <c r="D60" s="525"/>
      <c r="E60" s="525"/>
      <c r="F60" s="525"/>
      <c r="G60" s="525"/>
      <c r="H60" s="525"/>
      <c r="I60" s="525"/>
    </row>
    <row r="61" spans="3:15" ht="80.099999999999994" customHeight="1" x14ac:dyDescent="0.25">
      <c r="C61" s="521" t="s">
        <v>338</v>
      </c>
      <c r="D61" s="521"/>
      <c r="E61" s="521"/>
      <c r="F61" s="521"/>
      <c r="G61" s="521"/>
      <c r="H61" s="521"/>
      <c r="I61" s="521"/>
      <c r="K61" s="435">
        <f>K66*1.0775</f>
        <v>23763.358477500002</v>
      </c>
      <c r="M61" s="446">
        <f>(K61-$K$71)/$K$71</f>
        <v>0.18816792387500009</v>
      </c>
      <c r="O61" s="443">
        <f>O66+7.75/100</f>
        <v>0.1777</v>
      </c>
    </row>
    <row r="62" spans="3:15" x14ac:dyDescent="0.2">
      <c r="E62" s="40"/>
      <c r="F62" s="40"/>
      <c r="G62" s="40"/>
      <c r="H62" s="40"/>
      <c r="I62" s="40"/>
    </row>
    <row r="63" spans="3:15" x14ac:dyDescent="0.2">
      <c r="E63" s="40"/>
      <c r="F63" s="40"/>
      <c r="G63" s="40"/>
      <c r="H63" s="40"/>
      <c r="I63" s="40"/>
    </row>
    <row r="64" spans="3:15" ht="15.75" x14ac:dyDescent="0.25">
      <c r="C64" s="525" t="s">
        <v>334</v>
      </c>
      <c r="D64" s="525"/>
      <c r="E64" s="525"/>
      <c r="F64" s="525"/>
      <c r="G64" s="525"/>
      <c r="H64" s="525"/>
      <c r="I64" s="525"/>
    </row>
    <row r="65" spans="3:15" ht="80.099999999999994" customHeight="1" x14ac:dyDescent="0.25">
      <c r="C65" s="522" t="s">
        <v>345</v>
      </c>
      <c r="D65" s="522"/>
      <c r="E65" s="522"/>
      <c r="F65" s="522"/>
      <c r="G65" s="522"/>
      <c r="H65" s="522"/>
      <c r="I65" s="522"/>
      <c r="J65" s="32"/>
    </row>
    <row r="66" spans="3:15" ht="15" customHeight="1" x14ac:dyDescent="0.2">
      <c r="C66" s="30"/>
      <c r="D66" s="30"/>
      <c r="E66" s="30"/>
      <c r="F66" s="30"/>
      <c r="G66" s="30"/>
      <c r="H66" s="30"/>
      <c r="I66" s="30"/>
      <c r="J66" s="32"/>
      <c r="K66" s="435">
        <f>K69*1.0515</f>
        <v>22054.161000000004</v>
      </c>
      <c r="M66" s="446">
        <f>(K66-K71)/K71</f>
        <v>0.10270805000000019</v>
      </c>
      <c r="O66" s="443">
        <f>O69+0.0515</f>
        <v>0.1002</v>
      </c>
    </row>
    <row r="67" spans="3:15" x14ac:dyDescent="0.2">
      <c r="E67" s="40"/>
      <c r="F67" s="40"/>
      <c r="G67" s="40"/>
      <c r="H67" s="40"/>
      <c r="I67" s="40"/>
    </row>
    <row r="68" spans="3:15" ht="15.75" x14ac:dyDescent="0.25">
      <c r="C68" s="525" t="s">
        <v>349</v>
      </c>
      <c r="D68" s="525"/>
      <c r="E68" s="525"/>
      <c r="F68" s="525"/>
      <c r="G68" s="525"/>
      <c r="H68" s="525"/>
      <c r="I68" s="525"/>
    </row>
    <row r="69" spans="3:15" ht="80.099999999999994" customHeight="1" x14ac:dyDescent="0.25">
      <c r="C69" s="519" t="s">
        <v>346</v>
      </c>
      <c r="D69" s="519"/>
      <c r="E69" s="519"/>
      <c r="F69" s="519"/>
      <c r="G69" s="519"/>
      <c r="H69" s="519"/>
      <c r="I69" s="519"/>
      <c r="K69" s="435">
        <f>K71*1.0487</f>
        <v>20974</v>
      </c>
      <c r="M69" s="447">
        <f>(K69-K71)/K71</f>
        <v>4.87E-2</v>
      </c>
      <c r="O69" s="444">
        <v>4.87E-2</v>
      </c>
    </row>
    <row r="70" spans="3:15" ht="9.9499999999999993" customHeight="1" x14ac:dyDescent="0.25">
      <c r="C70" s="193"/>
      <c r="D70" s="193"/>
      <c r="E70" s="193"/>
      <c r="F70" s="193"/>
      <c r="G70" s="193"/>
      <c r="H70" s="193"/>
      <c r="I70" s="193"/>
      <c r="K70" s="439"/>
    </row>
    <row r="71" spans="3:15" x14ac:dyDescent="0.2">
      <c r="C71" s="518" t="s">
        <v>694</v>
      </c>
      <c r="D71" s="518"/>
      <c r="E71" s="518"/>
      <c r="F71" s="518"/>
      <c r="G71" s="518"/>
      <c r="H71" s="518"/>
      <c r="I71" s="518"/>
      <c r="J71" s="269"/>
      <c r="K71" s="435">
        <v>20000</v>
      </c>
    </row>
    <row r="72" spans="3:15" x14ac:dyDescent="0.2">
      <c r="E72" s="40"/>
      <c r="F72" s="40"/>
      <c r="G72" s="40"/>
      <c r="H72" s="40"/>
      <c r="I72" s="40"/>
    </row>
    <row r="73" spans="3:15" x14ac:dyDescent="0.2">
      <c r="E73" s="40"/>
      <c r="F73" s="40"/>
      <c r="G73" s="40" t="s">
        <v>0</v>
      </c>
      <c r="H73" s="40"/>
      <c r="I73" s="40"/>
    </row>
  </sheetData>
  <sheetProtection formatCells="0" formatColumns="0" formatRows="0" insertColumns="0" insertRows="0" insertHyperlinks="0" deleteColumns="0" deleteRows="0" sort="0" autoFilter="0" pivotTables="0"/>
  <customSheetViews>
    <customSheetView guid="{984CD521-F61A-4081-9FBE-1EFFB5F20A35}" topLeftCell="A19">
      <selection activeCell="A20" sqref="A20:G20"/>
      <pageMargins left="0.7" right="0.7" top="0.75" bottom="0.75" header="0.3" footer="0.3"/>
      <pageSetup orientation="portrait" verticalDpi="0" r:id="rId1"/>
    </customSheetView>
  </customSheetViews>
  <mergeCells count="37">
    <mergeCell ref="C24:I24"/>
    <mergeCell ref="C2:I2"/>
    <mergeCell ref="C6:I6"/>
    <mergeCell ref="C4:I4"/>
    <mergeCell ref="C8:I8"/>
    <mergeCell ref="C10:I10"/>
    <mergeCell ref="C22:I22"/>
    <mergeCell ref="C20:I20"/>
    <mergeCell ref="C55:I55"/>
    <mergeCell ref="C35:I35"/>
    <mergeCell ref="C36:I36"/>
    <mergeCell ref="C32:I32"/>
    <mergeCell ref="C26:I26"/>
    <mergeCell ref="C28:I28"/>
    <mergeCell ref="C30:I30"/>
    <mergeCell ref="C43:I43"/>
    <mergeCell ref="C45:I45"/>
    <mergeCell ref="C51:I51"/>
    <mergeCell ref="C50:I50"/>
    <mergeCell ref="C39:I39"/>
    <mergeCell ref="C41:I41"/>
    <mergeCell ref="C71:I71"/>
    <mergeCell ref="C69:I69"/>
    <mergeCell ref="C12:I12"/>
    <mergeCell ref="C14:I14"/>
    <mergeCell ref="C16:I16"/>
    <mergeCell ref="C18:I18"/>
    <mergeCell ref="C56:I56"/>
    <mergeCell ref="C48:I48"/>
    <mergeCell ref="C60:I60"/>
    <mergeCell ref="C53:I53"/>
    <mergeCell ref="C47:I47"/>
    <mergeCell ref="C68:I68"/>
    <mergeCell ref="C65:I65"/>
    <mergeCell ref="C64:I64"/>
    <mergeCell ref="C61:I61"/>
    <mergeCell ref="C58:I58"/>
  </mergeCells>
  <phoneticPr fontId="15" type="noConversion"/>
  <pageMargins left="0.7" right="0.7" top="0.75" bottom="0.75" header="0.3" footer="0.3"/>
  <pageSetup orientation="portrait"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1"/>
  <sheetViews>
    <sheetView topLeftCell="A7" workbookViewId="0">
      <selection activeCell="A12" sqref="A12:F12"/>
    </sheetView>
  </sheetViews>
  <sheetFormatPr baseColWidth="10" defaultRowHeight="15" x14ac:dyDescent="0.2"/>
  <cols>
    <col min="1" max="1" width="17.85546875" style="45" customWidth="1"/>
    <col min="2" max="2" width="14.42578125" style="45" customWidth="1"/>
    <col min="3" max="3" width="12.85546875" style="45" customWidth="1"/>
    <col min="4" max="4" width="16" style="45" customWidth="1"/>
    <col min="5" max="5" width="12.5703125" style="45" customWidth="1"/>
    <col min="6" max="16384" width="11.42578125" style="45"/>
  </cols>
  <sheetData>
    <row r="2" spans="1:6" ht="15.75" x14ac:dyDescent="0.25">
      <c r="A2" s="546" t="s">
        <v>695</v>
      </c>
      <c r="B2" s="546"/>
      <c r="C2" s="546"/>
      <c r="D2" s="546"/>
      <c r="E2" s="546"/>
      <c r="F2" s="546"/>
    </row>
    <row r="3" spans="1:6" x14ac:dyDescent="0.2">
      <c r="A3" s="200"/>
    </row>
    <row r="4" spans="1:6" ht="15.75" x14ac:dyDescent="0.25">
      <c r="A4" s="546" t="s">
        <v>696</v>
      </c>
      <c r="B4" s="546"/>
      <c r="C4" s="546"/>
      <c r="D4" s="546"/>
      <c r="E4" s="546"/>
      <c r="F4" s="546"/>
    </row>
    <row r="5" spans="1:6" x14ac:dyDescent="0.2">
      <c r="A5" s="45" t="s">
        <v>0</v>
      </c>
    </row>
    <row r="6" spans="1:6" ht="45.75" customHeight="1" x14ac:dyDescent="0.2">
      <c r="A6" s="542" t="s">
        <v>697</v>
      </c>
      <c r="B6" s="542"/>
      <c r="C6" s="542"/>
      <c r="D6" s="542"/>
      <c r="E6" s="542"/>
      <c r="F6" s="542"/>
    </row>
    <row r="7" spans="1:6" x14ac:dyDescent="0.2">
      <c r="A7" s="45" t="s">
        <v>0</v>
      </c>
    </row>
    <row r="8" spans="1:6" ht="15.75" x14ac:dyDescent="0.25">
      <c r="A8" s="544" t="s">
        <v>698</v>
      </c>
      <c r="B8" s="544"/>
      <c r="C8" s="544"/>
      <c r="D8" s="544"/>
      <c r="E8" s="544"/>
      <c r="F8" s="544"/>
    </row>
    <row r="10" spans="1:6" ht="64.5" customHeight="1" x14ac:dyDescent="0.2">
      <c r="A10" s="542" t="s">
        <v>706</v>
      </c>
      <c r="B10" s="542"/>
      <c r="C10" s="542"/>
      <c r="D10" s="542"/>
      <c r="E10" s="542"/>
      <c r="F10" s="542"/>
    </row>
    <row r="12" spans="1:6" ht="60.75" customHeight="1" x14ac:dyDescent="0.2">
      <c r="A12" s="545" t="s">
        <v>831</v>
      </c>
      <c r="B12" s="545"/>
      <c r="C12" s="545"/>
      <c r="D12" s="545"/>
      <c r="E12" s="545"/>
      <c r="F12" s="545"/>
    </row>
    <row r="14" spans="1:6" ht="96.75" customHeight="1" x14ac:dyDescent="0.2">
      <c r="A14" s="542" t="s">
        <v>853</v>
      </c>
      <c r="B14" s="542"/>
      <c r="C14" s="542"/>
      <c r="D14" s="542"/>
      <c r="E14" s="542"/>
      <c r="F14" s="542"/>
    </row>
    <row r="16" spans="1:6" ht="60" customHeight="1" x14ac:dyDescent="0.2">
      <c r="A16" s="528" t="s">
        <v>699</v>
      </c>
      <c r="B16" s="528"/>
      <c r="C16" s="528"/>
      <c r="D16" s="528"/>
      <c r="E16" s="528"/>
      <c r="F16" s="528"/>
    </row>
    <row r="18" spans="1:6" ht="49.5" customHeight="1" x14ac:dyDescent="0.2">
      <c r="A18" s="542" t="s">
        <v>700</v>
      </c>
      <c r="B18" s="542"/>
      <c r="C18" s="542"/>
      <c r="D18" s="542"/>
      <c r="E18" s="542"/>
      <c r="F18" s="542"/>
    </row>
    <row r="20" spans="1:6" ht="15.75" x14ac:dyDescent="0.25">
      <c r="A20" s="544" t="s">
        <v>701</v>
      </c>
      <c r="B20" s="544"/>
      <c r="C20" s="544" t="s">
        <v>703</v>
      </c>
      <c r="D20" s="544"/>
      <c r="E20" s="544" t="s">
        <v>704</v>
      </c>
      <c r="F20" s="544"/>
    </row>
    <row r="21" spans="1:6" x14ac:dyDescent="0.2">
      <c r="A21" s="45" t="s">
        <v>702</v>
      </c>
      <c r="C21" s="210" t="s">
        <v>0</v>
      </c>
      <c r="D21" s="210">
        <v>3330.67</v>
      </c>
      <c r="F21" s="210">
        <v>29515.74</v>
      </c>
    </row>
    <row r="22" spans="1:6" x14ac:dyDescent="0.2">
      <c r="A22" s="45">
        <v>1956</v>
      </c>
      <c r="D22" s="210">
        <v>3264</v>
      </c>
      <c r="F22" s="210">
        <v>28925.8</v>
      </c>
    </row>
    <row r="23" spans="1:6" x14ac:dyDescent="0.2">
      <c r="A23" s="45">
        <f>A22+1</f>
        <v>1957</v>
      </c>
      <c r="D23" s="210">
        <v>3022.24</v>
      </c>
      <c r="F23" s="210">
        <v>26783.47</v>
      </c>
    </row>
    <row r="24" spans="1:6" x14ac:dyDescent="0.2">
      <c r="A24" s="45">
        <f>A23+1</f>
        <v>1958</v>
      </c>
      <c r="D24" s="210">
        <v>2549.9299999999998</v>
      </c>
      <c r="F24" s="210">
        <v>22597.37</v>
      </c>
    </row>
    <row r="25" spans="1:6" x14ac:dyDescent="0.2">
      <c r="A25" s="45">
        <f t="shared" ref="A25:A85" si="0">A24+1</f>
        <v>1959</v>
      </c>
      <c r="D25" s="210">
        <v>2331.2199999999998</v>
      </c>
      <c r="F25" s="210">
        <v>20659.419999999998</v>
      </c>
    </row>
    <row r="26" spans="1:6" x14ac:dyDescent="0.2">
      <c r="A26" s="45">
        <f t="shared" si="0"/>
        <v>1960</v>
      </c>
      <c r="D26" s="210">
        <v>2175.86</v>
      </c>
      <c r="F26" s="210">
        <v>19282.419999999998</v>
      </c>
    </row>
    <row r="27" spans="1:6" hidden="1" x14ac:dyDescent="0.2">
      <c r="A27" s="45">
        <f t="shared" si="0"/>
        <v>1961</v>
      </c>
    </row>
    <row r="28" spans="1:6" hidden="1" x14ac:dyDescent="0.2">
      <c r="A28" s="45">
        <f t="shared" si="0"/>
        <v>1962</v>
      </c>
    </row>
    <row r="29" spans="1:6" hidden="1" x14ac:dyDescent="0.2">
      <c r="A29" s="45">
        <f t="shared" si="0"/>
        <v>1963</v>
      </c>
    </row>
    <row r="30" spans="1:6" hidden="1" x14ac:dyDescent="0.2">
      <c r="A30" s="45">
        <f t="shared" si="0"/>
        <v>1964</v>
      </c>
    </row>
    <row r="31" spans="1:6" hidden="1" x14ac:dyDescent="0.2">
      <c r="A31" s="45">
        <f t="shared" si="0"/>
        <v>1965</v>
      </c>
    </row>
    <row r="32" spans="1:6" hidden="1" x14ac:dyDescent="0.2">
      <c r="A32" s="45">
        <f t="shared" si="0"/>
        <v>1966</v>
      </c>
    </row>
    <row r="33" spans="1:1" hidden="1" x14ac:dyDescent="0.2">
      <c r="A33" s="45">
        <f t="shared" si="0"/>
        <v>1967</v>
      </c>
    </row>
    <row r="34" spans="1:1" hidden="1" x14ac:dyDescent="0.2">
      <c r="A34" s="45">
        <f t="shared" si="0"/>
        <v>1968</v>
      </c>
    </row>
    <row r="35" spans="1:1" hidden="1" x14ac:dyDescent="0.2">
      <c r="A35" s="45">
        <f t="shared" si="0"/>
        <v>1969</v>
      </c>
    </row>
    <row r="36" spans="1:1" hidden="1" x14ac:dyDescent="0.2">
      <c r="A36" s="45">
        <f t="shared" si="0"/>
        <v>1970</v>
      </c>
    </row>
    <row r="37" spans="1:1" hidden="1" x14ac:dyDescent="0.2">
      <c r="A37" s="45">
        <f t="shared" si="0"/>
        <v>1971</v>
      </c>
    </row>
    <row r="38" spans="1:1" hidden="1" x14ac:dyDescent="0.2">
      <c r="A38" s="45">
        <f t="shared" si="0"/>
        <v>1972</v>
      </c>
    </row>
    <row r="39" spans="1:1" hidden="1" x14ac:dyDescent="0.2">
      <c r="A39" s="45">
        <f t="shared" si="0"/>
        <v>1973</v>
      </c>
    </row>
    <row r="40" spans="1:1" hidden="1" x14ac:dyDescent="0.2">
      <c r="A40" s="45">
        <f t="shared" si="0"/>
        <v>1974</v>
      </c>
    </row>
    <row r="41" spans="1:1" hidden="1" x14ac:dyDescent="0.2">
      <c r="A41" s="45">
        <f t="shared" si="0"/>
        <v>1975</v>
      </c>
    </row>
    <row r="42" spans="1:1" hidden="1" x14ac:dyDescent="0.2">
      <c r="A42" s="45">
        <f t="shared" si="0"/>
        <v>1976</v>
      </c>
    </row>
    <row r="43" spans="1:1" hidden="1" x14ac:dyDescent="0.2">
      <c r="A43" s="45">
        <f t="shared" si="0"/>
        <v>1977</v>
      </c>
    </row>
    <row r="44" spans="1:1" hidden="1" x14ac:dyDescent="0.2">
      <c r="A44" s="45">
        <f t="shared" si="0"/>
        <v>1978</v>
      </c>
    </row>
    <row r="45" spans="1:1" hidden="1" x14ac:dyDescent="0.2">
      <c r="A45" s="45">
        <f t="shared" si="0"/>
        <v>1979</v>
      </c>
    </row>
    <row r="46" spans="1:1" hidden="1" x14ac:dyDescent="0.2">
      <c r="A46" s="45">
        <f t="shared" si="0"/>
        <v>1980</v>
      </c>
    </row>
    <row r="47" spans="1:1" hidden="1" x14ac:dyDescent="0.2">
      <c r="A47" s="45">
        <f t="shared" si="0"/>
        <v>1981</v>
      </c>
    </row>
    <row r="48" spans="1:1" hidden="1" x14ac:dyDescent="0.2">
      <c r="A48" s="45">
        <f t="shared" si="0"/>
        <v>1982</v>
      </c>
    </row>
    <row r="49" spans="1:1" hidden="1" x14ac:dyDescent="0.2">
      <c r="A49" s="45">
        <f t="shared" si="0"/>
        <v>1983</v>
      </c>
    </row>
    <row r="50" spans="1:1" hidden="1" x14ac:dyDescent="0.2">
      <c r="A50" s="45">
        <f t="shared" si="0"/>
        <v>1984</v>
      </c>
    </row>
    <row r="51" spans="1:1" hidden="1" x14ac:dyDescent="0.2">
      <c r="A51" s="45">
        <f t="shared" si="0"/>
        <v>1985</v>
      </c>
    </row>
    <row r="52" spans="1:1" hidden="1" x14ac:dyDescent="0.2">
      <c r="A52" s="45">
        <f t="shared" si="0"/>
        <v>1986</v>
      </c>
    </row>
    <row r="53" spans="1:1" hidden="1" x14ac:dyDescent="0.2">
      <c r="A53" s="45">
        <f t="shared" si="0"/>
        <v>1987</v>
      </c>
    </row>
    <row r="54" spans="1:1" hidden="1" x14ac:dyDescent="0.2">
      <c r="A54" s="45">
        <f t="shared" si="0"/>
        <v>1988</v>
      </c>
    </row>
    <row r="55" spans="1:1" hidden="1" x14ac:dyDescent="0.2">
      <c r="A55" s="45">
        <f t="shared" si="0"/>
        <v>1989</v>
      </c>
    </row>
    <row r="56" spans="1:1" hidden="1" x14ac:dyDescent="0.2">
      <c r="A56" s="45">
        <f t="shared" si="0"/>
        <v>1990</v>
      </c>
    </row>
    <row r="57" spans="1:1" hidden="1" x14ac:dyDescent="0.2">
      <c r="A57" s="45">
        <f t="shared" si="0"/>
        <v>1991</v>
      </c>
    </row>
    <row r="58" spans="1:1" hidden="1" x14ac:dyDescent="0.2">
      <c r="A58" s="45">
        <f t="shared" si="0"/>
        <v>1992</v>
      </c>
    </row>
    <row r="59" spans="1:1" hidden="1" x14ac:dyDescent="0.2">
      <c r="A59" s="45">
        <f t="shared" si="0"/>
        <v>1993</v>
      </c>
    </row>
    <row r="60" spans="1:1" hidden="1" x14ac:dyDescent="0.2">
      <c r="A60" s="45">
        <f t="shared" si="0"/>
        <v>1994</v>
      </c>
    </row>
    <row r="61" spans="1:1" hidden="1" x14ac:dyDescent="0.2">
      <c r="A61" s="45">
        <f t="shared" si="0"/>
        <v>1995</v>
      </c>
    </row>
    <row r="62" spans="1:1" hidden="1" x14ac:dyDescent="0.2">
      <c r="A62" s="45">
        <f t="shared" si="0"/>
        <v>1996</v>
      </c>
    </row>
    <row r="63" spans="1:1" hidden="1" x14ac:dyDescent="0.2">
      <c r="A63" s="45">
        <f t="shared" si="0"/>
        <v>1997</v>
      </c>
    </row>
    <row r="64" spans="1:1" hidden="1" x14ac:dyDescent="0.2">
      <c r="A64" s="45">
        <f t="shared" si="0"/>
        <v>1998</v>
      </c>
    </row>
    <row r="65" spans="1:1" hidden="1" x14ac:dyDescent="0.2">
      <c r="A65" s="45">
        <f t="shared" si="0"/>
        <v>1999</v>
      </c>
    </row>
    <row r="66" spans="1:1" hidden="1" x14ac:dyDescent="0.2">
      <c r="A66" s="45">
        <f t="shared" si="0"/>
        <v>2000</v>
      </c>
    </row>
    <row r="67" spans="1:1" hidden="1" x14ac:dyDescent="0.2">
      <c r="A67" s="45">
        <f t="shared" si="0"/>
        <v>2001</v>
      </c>
    </row>
    <row r="68" spans="1:1" hidden="1" x14ac:dyDescent="0.2">
      <c r="A68" s="45">
        <f t="shared" si="0"/>
        <v>2002</v>
      </c>
    </row>
    <row r="69" spans="1:1" hidden="1" x14ac:dyDescent="0.2">
      <c r="A69" s="45">
        <f t="shared" si="0"/>
        <v>2003</v>
      </c>
    </row>
    <row r="70" spans="1:1" hidden="1" x14ac:dyDescent="0.2">
      <c r="A70" s="45">
        <f t="shared" si="0"/>
        <v>2004</v>
      </c>
    </row>
    <row r="71" spans="1:1" hidden="1" x14ac:dyDescent="0.2">
      <c r="A71" s="45">
        <f t="shared" si="0"/>
        <v>2005</v>
      </c>
    </row>
    <row r="72" spans="1:1" hidden="1" x14ac:dyDescent="0.2">
      <c r="A72" s="45">
        <f t="shared" si="0"/>
        <v>2006</v>
      </c>
    </row>
    <row r="73" spans="1:1" hidden="1" x14ac:dyDescent="0.2">
      <c r="A73" s="45">
        <f t="shared" si="0"/>
        <v>2007</v>
      </c>
    </row>
    <row r="74" spans="1:1" hidden="1" x14ac:dyDescent="0.2">
      <c r="A74" s="45">
        <f t="shared" si="0"/>
        <v>2008</v>
      </c>
    </row>
    <row r="75" spans="1:1" hidden="1" x14ac:dyDescent="0.2">
      <c r="A75" s="45">
        <f t="shared" si="0"/>
        <v>2009</v>
      </c>
    </row>
    <row r="76" spans="1:1" hidden="1" x14ac:dyDescent="0.2">
      <c r="A76" s="45">
        <f t="shared" si="0"/>
        <v>2010</v>
      </c>
    </row>
    <row r="77" spans="1:1" hidden="1" x14ac:dyDescent="0.2">
      <c r="A77" s="45">
        <f t="shared" si="0"/>
        <v>2011</v>
      </c>
    </row>
    <row r="78" spans="1:1" hidden="1" x14ac:dyDescent="0.2">
      <c r="A78" s="45">
        <f t="shared" si="0"/>
        <v>2012</v>
      </c>
    </row>
    <row r="79" spans="1:1" hidden="1" x14ac:dyDescent="0.2">
      <c r="A79" s="45">
        <f t="shared" si="0"/>
        <v>2013</v>
      </c>
    </row>
    <row r="80" spans="1:1" hidden="1" x14ac:dyDescent="0.2">
      <c r="A80" s="45">
        <f t="shared" si="0"/>
        <v>2014</v>
      </c>
    </row>
    <row r="81" spans="1:6" x14ac:dyDescent="0.2">
      <c r="A81" s="45">
        <f t="shared" si="0"/>
        <v>2015</v>
      </c>
      <c r="D81" s="45">
        <v>1.25</v>
      </c>
      <c r="F81" s="45">
        <v>1.38</v>
      </c>
    </row>
    <row r="82" spans="1:6" x14ac:dyDescent="0.2">
      <c r="A82" s="45">
        <f t="shared" si="0"/>
        <v>2016</v>
      </c>
      <c r="D82" s="45">
        <v>1.17</v>
      </c>
      <c r="F82" s="45">
        <v>1.31</v>
      </c>
    </row>
    <row r="83" spans="1:6" x14ac:dyDescent="0.2">
      <c r="A83" s="45">
        <f t="shared" si="0"/>
        <v>2017</v>
      </c>
      <c r="D83" s="45">
        <v>1.1100000000000001</v>
      </c>
      <c r="F83" s="45">
        <v>1.25</v>
      </c>
    </row>
    <row r="84" spans="1:6" x14ac:dyDescent="0.2">
      <c r="A84" s="45">
        <f t="shared" si="0"/>
        <v>2018</v>
      </c>
      <c r="D84" s="45">
        <v>1.07</v>
      </c>
      <c r="F84" s="45">
        <v>1.1499999999999999</v>
      </c>
    </row>
    <row r="85" spans="1:6" x14ac:dyDescent="0.2">
      <c r="A85" s="45">
        <f t="shared" si="0"/>
        <v>2019</v>
      </c>
      <c r="D85" s="45">
        <v>1.04</v>
      </c>
      <c r="F85" s="45">
        <v>1.06</v>
      </c>
    </row>
    <row r="87" spans="1:6" ht="65.25" customHeight="1" x14ac:dyDescent="0.2">
      <c r="A87" s="542" t="s">
        <v>705</v>
      </c>
      <c r="B87" s="542"/>
      <c r="C87" s="542"/>
      <c r="D87" s="542"/>
      <c r="E87" s="542"/>
      <c r="F87" s="542"/>
    </row>
    <row r="89" spans="1:6" ht="45" customHeight="1" x14ac:dyDescent="0.2">
      <c r="A89" s="543" t="s">
        <v>883</v>
      </c>
      <c r="B89" s="543"/>
      <c r="C89" s="543"/>
      <c r="D89" s="543"/>
      <c r="E89" s="543"/>
      <c r="F89" s="543"/>
    </row>
    <row r="91" spans="1:6" ht="45" customHeight="1" x14ac:dyDescent="0.2">
      <c r="A91" s="542" t="s">
        <v>884</v>
      </c>
      <c r="B91" s="542"/>
      <c r="C91" s="542"/>
      <c r="D91" s="542"/>
      <c r="E91" s="542"/>
      <c r="F91" s="542"/>
    </row>
  </sheetData>
  <mergeCells count="15">
    <mergeCell ref="A12:F12"/>
    <mergeCell ref="A14:F14"/>
    <mergeCell ref="A16:F16"/>
    <mergeCell ref="A2:F2"/>
    <mergeCell ref="A4:F4"/>
    <mergeCell ref="A6:F6"/>
    <mergeCell ref="A8:F8"/>
    <mergeCell ref="A10:F10"/>
    <mergeCell ref="A89:F89"/>
    <mergeCell ref="A91:F91"/>
    <mergeCell ref="A18:F18"/>
    <mergeCell ref="A20:B20"/>
    <mergeCell ref="C20:D20"/>
    <mergeCell ref="E20:F20"/>
    <mergeCell ref="A87:F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4"/>
  <sheetViews>
    <sheetView workbookViewId="0">
      <pane xSplit="1" ySplit="4" topLeftCell="B14" activePane="bottomRight" state="frozen"/>
      <selection pane="topRight" activeCell="B1" sqref="B1"/>
      <selection pane="bottomLeft" activeCell="A5" sqref="A5"/>
      <selection pane="bottomRight" activeCell="H9" sqref="H9"/>
    </sheetView>
  </sheetViews>
  <sheetFormatPr baseColWidth="10" defaultRowHeight="15" x14ac:dyDescent="0.2"/>
  <cols>
    <col min="1" max="6" width="15.7109375" style="45" customWidth="1"/>
    <col min="7" max="16384" width="11.42578125" style="45"/>
  </cols>
  <sheetData>
    <row r="2" spans="1:6" ht="15.75" x14ac:dyDescent="0.25">
      <c r="A2" s="546" t="s">
        <v>873</v>
      </c>
      <c r="B2" s="546"/>
      <c r="C2" s="546"/>
      <c r="D2" s="546"/>
      <c r="E2" s="546"/>
      <c r="F2" s="546"/>
    </row>
    <row r="3" spans="1:6" x14ac:dyDescent="0.2">
      <c r="A3" s="425"/>
    </row>
    <row r="4" spans="1:6" ht="15.75" x14ac:dyDescent="0.25">
      <c r="A4" s="546" t="s">
        <v>874</v>
      </c>
      <c r="B4" s="546"/>
      <c r="C4" s="546"/>
      <c r="D4" s="546"/>
      <c r="E4" s="546"/>
      <c r="F4" s="546"/>
    </row>
    <row r="5" spans="1:6" x14ac:dyDescent="0.2">
      <c r="A5" s="45" t="s">
        <v>0</v>
      </c>
    </row>
    <row r="6" spans="1:6" ht="45.75" customHeight="1" x14ac:dyDescent="0.2">
      <c r="A6" s="542" t="s">
        <v>697</v>
      </c>
      <c r="B6" s="542"/>
      <c r="C6" s="542"/>
      <c r="D6" s="542"/>
      <c r="E6" s="542"/>
      <c r="F6" s="542"/>
    </row>
    <row r="7" spans="1:6" x14ac:dyDescent="0.2">
      <c r="A7" s="45" t="s">
        <v>0</v>
      </c>
    </row>
    <row r="8" spans="1:6" ht="15.75" x14ac:dyDescent="0.25">
      <c r="A8" s="544" t="s">
        <v>698</v>
      </c>
      <c r="B8" s="544"/>
      <c r="C8" s="544"/>
      <c r="D8" s="544"/>
      <c r="E8" s="544"/>
      <c r="F8" s="544"/>
    </row>
    <row r="10" spans="1:6" ht="64.5" customHeight="1" x14ac:dyDescent="0.2">
      <c r="A10" s="542" t="s">
        <v>706</v>
      </c>
      <c r="B10" s="542"/>
      <c r="C10" s="542"/>
      <c r="D10" s="542"/>
      <c r="E10" s="542"/>
      <c r="F10" s="542"/>
    </row>
    <row r="12" spans="1:6" ht="60.75" customHeight="1" x14ac:dyDescent="0.2">
      <c r="A12" s="545" t="s">
        <v>875</v>
      </c>
      <c r="B12" s="545"/>
      <c r="C12" s="545"/>
      <c r="D12" s="545"/>
      <c r="E12" s="545"/>
      <c r="F12" s="545"/>
    </row>
    <row r="14" spans="1:6" ht="96.75" customHeight="1" x14ac:dyDescent="0.2">
      <c r="A14" s="542" t="s">
        <v>876</v>
      </c>
      <c r="B14" s="542"/>
      <c r="C14" s="542"/>
      <c r="D14" s="542"/>
      <c r="E14" s="542"/>
      <c r="F14" s="542"/>
    </row>
    <row r="16" spans="1:6" ht="60" customHeight="1" x14ac:dyDescent="0.2">
      <c r="A16" s="528" t="s">
        <v>699</v>
      </c>
      <c r="B16" s="528"/>
      <c r="C16" s="528"/>
      <c r="D16" s="528"/>
      <c r="E16" s="528"/>
      <c r="F16" s="528"/>
    </row>
    <row r="18" spans="1:6" ht="49.5" customHeight="1" x14ac:dyDescent="0.2">
      <c r="A18" s="542" t="s">
        <v>700</v>
      </c>
      <c r="B18" s="542"/>
      <c r="C18" s="542"/>
      <c r="D18" s="542"/>
      <c r="E18" s="542"/>
      <c r="F18" s="542"/>
    </row>
    <row r="20" spans="1:6" ht="15.75" x14ac:dyDescent="0.25">
      <c r="A20" s="544" t="s">
        <v>701</v>
      </c>
      <c r="B20" s="544"/>
      <c r="C20" s="544" t="s">
        <v>703</v>
      </c>
      <c r="D20" s="544"/>
      <c r="E20" s="544" t="s">
        <v>704</v>
      </c>
      <c r="F20" s="544"/>
    </row>
    <row r="21" spans="1:6" x14ac:dyDescent="0.2">
      <c r="A21" s="45" t="s">
        <v>702</v>
      </c>
      <c r="C21" s="210" t="s">
        <v>0</v>
      </c>
      <c r="D21" s="210">
        <v>3385.63</v>
      </c>
      <c r="F21" s="210">
        <v>31201.08</v>
      </c>
    </row>
    <row r="22" spans="1:6" x14ac:dyDescent="0.2">
      <c r="A22" s="45">
        <v>1956</v>
      </c>
      <c r="C22" s="210"/>
      <c r="D22" s="210">
        <v>3317.86</v>
      </c>
      <c r="F22" s="210">
        <v>30577.46</v>
      </c>
    </row>
    <row r="23" spans="1:6" x14ac:dyDescent="0.2">
      <c r="A23" s="45">
        <f>A22+1</f>
        <v>1957</v>
      </c>
      <c r="C23" s="210"/>
      <c r="D23" s="210">
        <v>3072.11</v>
      </c>
      <c r="F23" s="210">
        <v>28312.799999999999</v>
      </c>
    </row>
    <row r="24" spans="1:6" x14ac:dyDescent="0.2">
      <c r="A24" s="45">
        <f>A23+1</f>
        <v>1958</v>
      </c>
      <c r="C24" s="210"/>
      <c r="D24" s="210">
        <v>2592</v>
      </c>
      <c r="F24" s="210">
        <v>23887.68</v>
      </c>
    </row>
    <row r="25" spans="1:6" x14ac:dyDescent="0.2">
      <c r="A25" s="45">
        <f>A24+1</f>
        <v>1959</v>
      </c>
      <c r="C25" s="210"/>
      <c r="D25" s="210">
        <v>2369.69</v>
      </c>
      <c r="F25" s="210">
        <v>21839.07</v>
      </c>
    </row>
    <row r="26" spans="1:6" x14ac:dyDescent="0.2">
      <c r="A26" s="45">
        <f>A25+1</f>
        <v>1960</v>
      </c>
      <c r="C26" s="210"/>
      <c r="D26" s="210">
        <v>2211.77</v>
      </c>
      <c r="F26" s="210">
        <v>20383.439999999999</v>
      </c>
    </row>
    <row r="27" spans="1:6" x14ac:dyDescent="0.2">
      <c r="C27" s="210"/>
      <c r="D27" s="210"/>
      <c r="F27" s="210"/>
    </row>
    <row r="28" spans="1:6" x14ac:dyDescent="0.2">
      <c r="D28" s="210"/>
      <c r="F28" s="210"/>
    </row>
    <row r="29" spans="1:6" hidden="1" x14ac:dyDescent="0.2">
      <c r="A29" s="45">
        <f t="shared" ref="A29:A88" si="0">A28+1</f>
        <v>1</v>
      </c>
    </row>
    <row r="30" spans="1:6" hidden="1" x14ac:dyDescent="0.2">
      <c r="A30" s="45">
        <f t="shared" si="0"/>
        <v>2</v>
      </c>
    </row>
    <row r="31" spans="1:6" hidden="1" x14ac:dyDescent="0.2">
      <c r="A31" s="45">
        <f t="shared" si="0"/>
        <v>3</v>
      </c>
    </row>
    <row r="32" spans="1:6" hidden="1" x14ac:dyDescent="0.2">
      <c r="A32" s="45">
        <f t="shared" si="0"/>
        <v>4</v>
      </c>
    </row>
    <row r="33" spans="1:1" hidden="1" x14ac:dyDescent="0.2">
      <c r="A33" s="45">
        <f t="shared" si="0"/>
        <v>5</v>
      </c>
    </row>
    <row r="34" spans="1:1" hidden="1" x14ac:dyDescent="0.2">
      <c r="A34" s="45">
        <f t="shared" si="0"/>
        <v>6</v>
      </c>
    </row>
    <row r="35" spans="1:1" hidden="1" x14ac:dyDescent="0.2">
      <c r="A35" s="45">
        <f t="shared" si="0"/>
        <v>7</v>
      </c>
    </row>
    <row r="36" spans="1:1" hidden="1" x14ac:dyDescent="0.2">
      <c r="A36" s="45">
        <f t="shared" si="0"/>
        <v>8</v>
      </c>
    </row>
    <row r="37" spans="1:1" hidden="1" x14ac:dyDescent="0.2">
      <c r="A37" s="45">
        <f t="shared" si="0"/>
        <v>9</v>
      </c>
    </row>
    <row r="38" spans="1:1" hidden="1" x14ac:dyDescent="0.2">
      <c r="A38" s="45">
        <f t="shared" si="0"/>
        <v>10</v>
      </c>
    </row>
    <row r="39" spans="1:1" hidden="1" x14ac:dyDescent="0.2">
      <c r="A39" s="45">
        <f t="shared" si="0"/>
        <v>11</v>
      </c>
    </row>
    <row r="40" spans="1:1" hidden="1" x14ac:dyDescent="0.2">
      <c r="A40" s="45">
        <f t="shared" si="0"/>
        <v>12</v>
      </c>
    </row>
    <row r="41" spans="1:1" hidden="1" x14ac:dyDescent="0.2">
      <c r="A41" s="45">
        <f t="shared" si="0"/>
        <v>13</v>
      </c>
    </row>
    <row r="42" spans="1:1" hidden="1" x14ac:dyDescent="0.2">
      <c r="A42" s="45">
        <f t="shared" si="0"/>
        <v>14</v>
      </c>
    </row>
    <row r="43" spans="1:1" hidden="1" x14ac:dyDescent="0.2">
      <c r="A43" s="45">
        <f t="shared" si="0"/>
        <v>15</v>
      </c>
    </row>
    <row r="44" spans="1:1" hidden="1" x14ac:dyDescent="0.2">
      <c r="A44" s="45">
        <f t="shared" si="0"/>
        <v>16</v>
      </c>
    </row>
    <row r="45" spans="1:1" hidden="1" x14ac:dyDescent="0.2">
      <c r="A45" s="45">
        <f t="shared" si="0"/>
        <v>17</v>
      </c>
    </row>
    <row r="46" spans="1:1" hidden="1" x14ac:dyDescent="0.2">
      <c r="A46" s="45">
        <f t="shared" si="0"/>
        <v>18</v>
      </c>
    </row>
    <row r="47" spans="1:1" hidden="1" x14ac:dyDescent="0.2">
      <c r="A47" s="45">
        <f t="shared" si="0"/>
        <v>19</v>
      </c>
    </row>
    <row r="48" spans="1:1" hidden="1" x14ac:dyDescent="0.2">
      <c r="A48" s="45">
        <f t="shared" si="0"/>
        <v>20</v>
      </c>
    </row>
    <row r="49" spans="1:1" hidden="1" x14ac:dyDescent="0.2">
      <c r="A49" s="45">
        <f t="shared" si="0"/>
        <v>21</v>
      </c>
    </row>
    <row r="50" spans="1:1" hidden="1" x14ac:dyDescent="0.2">
      <c r="A50" s="45">
        <f t="shared" si="0"/>
        <v>22</v>
      </c>
    </row>
    <row r="51" spans="1:1" hidden="1" x14ac:dyDescent="0.2">
      <c r="A51" s="45">
        <f t="shared" si="0"/>
        <v>23</v>
      </c>
    </row>
    <row r="52" spans="1:1" hidden="1" x14ac:dyDescent="0.2">
      <c r="A52" s="45">
        <f t="shared" si="0"/>
        <v>24</v>
      </c>
    </row>
    <row r="53" spans="1:1" hidden="1" x14ac:dyDescent="0.2">
      <c r="A53" s="45">
        <f t="shared" si="0"/>
        <v>25</v>
      </c>
    </row>
    <row r="54" spans="1:1" hidden="1" x14ac:dyDescent="0.2">
      <c r="A54" s="45">
        <f t="shared" si="0"/>
        <v>26</v>
      </c>
    </row>
    <row r="55" spans="1:1" hidden="1" x14ac:dyDescent="0.2">
      <c r="A55" s="45">
        <f t="shared" si="0"/>
        <v>27</v>
      </c>
    </row>
    <row r="56" spans="1:1" hidden="1" x14ac:dyDescent="0.2">
      <c r="A56" s="45">
        <f t="shared" si="0"/>
        <v>28</v>
      </c>
    </row>
    <row r="57" spans="1:1" hidden="1" x14ac:dyDescent="0.2">
      <c r="A57" s="45">
        <f t="shared" si="0"/>
        <v>29</v>
      </c>
    </row>
    <row r="58" spans="1:1" hidden="1" x14ac:dyDescent="0.2">
      <c r="A58" s="45">
        <f t="shared" si="0"/>
        <v>30</v>
      </c>
    </row>
    <row r="59" spans="1:1" hidden="1" x14ac:dyDescent="0.2">
      <c r="A59" s="45">
        <f t="shared" si="0"/>
        <v>31</v>
      </c>
    </row>
    <row r="60" spans="1:1" hidden="1" x14ac:dyDescent="0.2">
      <c r="A60" s="45">
        <f t="shared" si="0"/>
        <v>32</v>
      </c>
    </row>
    <row r="61" spans="1:1" hidden="1" x14ac:dyDescent="0.2">
      <c r="A61" s="45">
        <f t="shared" si="0"/>
        <v>33</v>
      </c>
    </row>
    <row r="62" spans="1:1" hidden="1" x14ac:dyDescent="0.2">
      <c r="A62" s="45">
        <f t="shared" si="0"/>
        <v>34</v>
      </c>
    </row>
    <row r="63" spans="1:1" hidden="1" x14ac:dyDescent="0.2">
      <c r="A63" s="45">
        <f t="shared" si="0"/>
        <v>35</v>
      </c>
    </row>
    <row r="64" spans="1:1" hidden="1" x14ac:dyDescent="0.2">
      <c r="A64" s="45">
        <f t="shared" si="0"/>
        <v>36</v>
      </c>
    </row>
    <row r="65" spans="1:1" hidden="1" x14ac:dyDescent="0.2">
      <c r="A65" s="45">
        <f t="shared" si="0"/>
        <v>37</v>
      </c>
    </row>
    <row r="66" spans="1:1" hidden="1" x14ac:dyDescent="0.2">
      <c r="A66" s="45">
        <f t="shared" si="0"/>
        <v>38</v>
      </c>
    </row>
    <row r="67" spans="1:1" hidden="1" x14ac:dyDescent="0.2">
      <c r="A67" s="45">
        <f t="shared" si="0"/>
        <v>39</v>
      </c>
    </row>
    <row r="68" spans="1:1" hidden="1" x14ac:dyDescent="0.2">
      <c r="A68" s="45">
        <f t="shared" si="0"/>
        <v>40</v>
      </c>
    </row>
    <row r="69" spans="1:1" hidden="1" x14ac:dyDescent="0.2">
      <c r="A69" s="45">
        <f t="shared" si="0"/>
        <v>41</v>
      </c>
    </row>
    <row r="70" spans="1:1" hidden="1" x14ac:dyDescent="0.2">
      <c r="A70" s="45">
        <f t="shared" si="0"/>
        <v>42</v>
      </c>
    </row>
    <row r="71" spans="1:1" hidden="1" x14ac:dyDescent="0.2">
      <c r="A71" s="45">
        <f t="shared" si="0"/>
        <v>43</v>
      </c>
    </row>
    <row r="72" spans="1:1" hidden="1" x14ac:dyDescent="0.2">
      <c r="A72" s="45">
        <f t="shared" si="0"/>
        <v>44</v>
      </c>
    </row>
    <row r="73" spans="1:1" hidden="1" x14ac:dyDescent="0.2">
      <c r="A73" s="45">
        <f t="shared" si="0"/>
        <v>45</v>
      </c>
    </row>
    <row r="74" spans="1:1" hidden="1" x14ac:dyDescent="0.2">
      <c r="A74" s="45">
        <f t="shared" si="0"/>
        <v>46</v>
      </c>
    </row>
    <row r="75" spans="1:1" hidden="1" x14ac:dyDescent="0.2">
      <c r="A75" s="45">
        <f t="shared" si="0"/>
        <v>47</v>
      </c>
    </row>
    <row r="76" spans="1:1" hidden="1" x14ac:dyDescent="0.2">
      <c r="A76" s="45">
        <f t="shared" si="0"/>
        <v>48</v>
      </c>
    </row>
    <row r="77" spans="1:1" hidden="1" x14ac:dyDescent="0.2">
      <c r="A77" s="45">
        <f t="shared" si="0"/>
        <v>49</v>
      </c>
    </row>
    <row r="78" spans="1:1" hidden="1" x14ac:dyDescent="0.2">
      <c r="A78" s="45">
        <f t="shared" si="0"/>
        <v>50</v>
      </c>
    </row>
    <row r="79" spans="1:1" hidden="1" x14ac:dyDescent="0.2">
      <c r="A79" s="45">
        <f t="shared" si="0"/>
        <v>51</v>
      </c>
    </row>
    <row r="80" spans="1:1" hidden="1" x14ac:dyDescent="0.2">
      <c r="A80" s="45">
        <f t="shared" si="0"/>
        <v>52</v>
      </c>
    </row>
    <row r="81" spans="1:6" hidden="1" x14ac:dyDescent="0.2">
      <c r="A81" s="45">
        <f t="shared" si="0"/>
        <v>53</v>
      </c>
    </row>
    <row r="82" spans="1:6" hidden="1" x14ac:dyDescent="0.2">
      <c r="A82" s="45">
        <f t="shared" si="0"/>
        <v>54</v>
      </c>
    </row>
    <row r="83" spans="1:6" x14ac:dyDescent="0.2">
      <c r="A83" s="45">
        <v>2015</v>
      </c>
      <c r="D83" s="45">
        <v>1.27</v>
      </c>
      <c r="F83" s="45">
        <v>1.45</v>
      </c>
    </row>
    <row r="84" spans="1:6" x14ac:dyDescent="0.2">
      <c r="A84" s="45">
        <f t="shared" si="0"/>
        <v>2016</v>
      </c>
      <c r="D84" s="45">
        <v>1.19</v>
      </c>
      <c r="F84" s="45">
        <v>1.39</v>
      </c>
    </row>
    <row r="85" spans="1:6" x14ac:dyDescent="0.2">
      <c r="A85" s="45">
        <f t="shared" si="0"/>
        <v>2017</v>
      </c>
      <c r="D85" s="45">
        <v>1.1299999999999999</v>
      </c>
      <c r="F85" s="45">
        <v>1.32</v>
      </c>
    </row>
    <row r="86" spans="1:6" x14ac:dyDescent="0.2">
      <c r="A86" s="45">
        <f t="shared" si="0"/>
        <v>2018</v>
      </c>
      <c r="D86" s="45">
        <v>1.0900000000000001</v>
      </c>
      <c r="F86" s="45">
        <v>1.22</v>
      </c>
    </row>
    <row r="87" spans="1:6" x14ac:dyDescent="0.2">
      <c r="A87" s="45">
        <f t="shared" si="0"/>
        <v>2019</v>
      </c>
      <c r="D87" s="45">
        <v>1.06</v>
      </c>
      <c r="F87" s="45">
        <v>1.1200000000000001</v>
      </c>
    </row>
    <row r="88" spans="1:6" x14ac:dyDescent="0.2">
      <c r="A88" s="45">
        <f t="shared" si="0"/>
        <v>2020</v>
      </c>
      <c r="D88" s="45">
        <v>1.02</v>
      </c>
      <c r="F88" s="45">
        <v>1.06</v>
      </c>
    </row>
    <row r="90" spans="1:6" ht="65.25" customHeight="1" x14ac:dyDescent="0.2">
      <c r="A90" s="542" t="s">
        <v>705</v>
      </c>
      <c r="B90" s="542"/>
      <c r="C90" s="542"/>
      <c r="D90" s="542"/>
      <c r="E90" s="542"/>
      <c r="F90" s="542"/>
    </row>
    <row r="92" spans="1:6" ht="43.5" customHeight="1" x14ac:dyDescent="0.2">
      <c r="A92" s="542" t="s">
        <v>877</v>
      </c>
      <c r="B92" s="542"/>
      <c r="C92" s="542"/>
      <c r="D92" s="542"/>
      <c r="E92" s="542"/>
      <c r="F92" s="542"/>
    </row>
    <row r="94" spans="1:6" ht="45" customHeight="1" x14ac:dyDescent="0.2">
      <c r="A94" s="542" t="s">
        <v>878</v>
      </c>
      <c r="B94" s="542"/>
      <c r="C94" s="542"/>
      <c r="D94" s="542"/>
      <c r="E94" s="542"/>
      <c r="F94" s="542"/>
    </row>
  </sheetData>
  <mergeCells count="15">
    <mergeCell ref="A90:F90"/>
    <mergeCell ref="A92:F92"/>
    <mergeCell ref="A94:F94"/>
    <mergeCell ref="A14:F14"/>
    <mergeCell ref="A16:F16"/>
    <mergeCell ref="A18:F18"/>
    <mergeCell ref="A20:B20"/>
    <mergeCell ref="C20:D20"/>
    <mergeCell ref="E20:F20"/>
    <mergeCell ref="A12:F12"/>
    <mergeCell ref="A2:F2"/>
    <mergeCell ref="A4:F4"/>
    <mergeCell ref="A6:F6"/>
    <mergeCell ref="A8:F8"/>
    <mergeCell ref="A10:F10"/>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UVT 2006</vt:lpstr>
      <vt:lpstr>Res 19</vt:lpstr>
      <vt:lpstr>Res 20</vt:lpstr>
      <vt:lpstr>Res 2021</vt:lpstr>
      <vt:lpstr>Res 2022</vt:lpstr>
      <vt:lpstr>Vr</vt:lpstr>
      <vt:lpstr>%</vt:lpstr>
      <vt:lpstr>Aj Act 20</vt:lpstr>
      <vt:lpstr>Aj Act 21</vt:lpstr>
      <vt:lpstr>Ajuste Cifras</vt:lpstr>
      <vt:lpstr>Rf Lab</vt:lpstr>
      <vt:lpstr>Base Ret</vt:lpstr>
      <vt:lpstr>Incr Rex</vt:lpstr>
      <vt:lpstr>T Ret</vt:lpstr>
      <vt:lpstr>NO Resp IVA</vt:lpstr>
      <vt:lpstr>Resp IVA</vt:lpstr>
      <vt:lpstr>Rs cons</vt:lpstr>
      <vt:lpstr>Tabla Renta Nat</vt:lpstr>
      <vt:lpstr>No Decl</vt:lpstr>
      <vt:lpstr>Si Decl</vt:lpstr>
      <vt:lpstr>Ot Decl</vt:lpstr>
      <vt:lpstr>Plazos RST</vt:lpstr>
      <vt:lpstr>Min Trans Infl</vt:lpstr>
      <vt:lpstr>Rta Jur</vt:lpstr>
      <vt:lpstr>Super Sc</vt:lpstr>
      <vt:lpstr>Ley Emprend</vt:lpstr>
      <vt:lpstr>Hoja2</vt:lpstr>
      <vt:lpstr>Hoja3</vt:lpstr>
    </vt:vector>
  </TitlesOfParts>
  <Company>Gerencia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Helmer Avilan</dc:creator>
  <cp:lastModifiedBy>Helmer Avilan</cp:lastModifiedBy>
  <cp:lastPrinted>2020-01-06T21:39:28Z</cp:lastPrinted>
  <dcterms:created xsi:type="dcterms:W3CDTF">2008-11-21T16:11:29Z</dcterms:created>
  <dcterms:modified xsi:type="dcterms:W3CDTF">2022-01-22T00:26:27Z</dcterms:modified>
</cp:coreProperties>
</file>